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82StrukVald\AMIF 2014_2020\2022 bendri skyriaus dokumentai\3. PMIF\kvietimu planai\lėšų perskirstymas 2026-09-30\"/>
    </mc:Choice>
  </mc:AlternateContent>
  <xr:revisionPtr revIDLastSave="0" documentId="13_ncr:1_{1D9CD876-AA16-45AC-8A99-FACF25C7F16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Sheet1!$A$3:$BC$3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2" i="1" l="1"/>
  <c r="H58" i="1"/>
  <c r="J58" i="1" s="1"/>
  <c r="N57" i="1"/>
  <c r="N56" i="1"/>
  <c r="N55" i="1" s="1"/>
  <c r="J56" i="1"/>
  <c r="BC55" i="1"/>
  <c r="BB55" i="1"/>
  <c r="BA55" i="1"/>
  <c r="H55" i="1"/>
  <c r="J55" i="1" s="1"/>
  <c r="I53" i="1"/>
  <c r="H53" i="1"/>
  <c r="H46" i="1" s="1"/>
  <c r="I51" i="1"/>
  <c r="H51" i="1"/>
  <c r="I49" i="1"/>
  <c r="H49" i="1"/>
  <c r="I47" i="1"/>
  <c r="H47" i="1"/>
  <c r="J47" i="1" s="1"/>
  <c r="AZ46" i="1"/>
  <c r="AY46" i="1"/>
  <c r="AX46" i="1"/>
  <c r="AW46" i="1"/>
  <c r="AV46" i="1"/>
  <c r="AU46" i="1"/>
  <c r="AT46" i="1"/>
  <c r="AS46" i="1"/>
  <c r="N46" i="1"/>
  <c r="M46" i="1"/>
  <c r="L46" i="1"/>
  <c r="K46" i="1"/>
  <c r="H45" i="1"/>
  <c r="I45" i="1" s="1"/>
  <c r="H43" i="1"/>
  <c r="I43" i="1" s="1"/>
  <c r="H42" i="1"/>
  <c r="I42" i="1" s="1"/>
  <c r="N41" i="1"/>
  <c r="J41" i="1"/>
  <c r="AA40" i="1"/>
  <c r="Z40" i="1"/>
  <c r="N40" i="1"/>
  <c r="I39" i="1"/>
  <c r="H39" i="1"/>
  <c r="R38" i="1"/>
  <c r="J38" i="1"/>
  <c r="H37" i="1"/>
  <c r="I37" i="1" s="1"/>
  <c r="S36" i="1"/>
  <c r="S25" i="1" s="1"/>
  <c r="R36" i="1"/>
  <c r="N36" i="1"/>
  <c r="R35" i="1"/>
  <c r="T34" i="1"/>
  <c r="R34" i="1"/>
  <c r="N34" i="1"/>
  <c r="I34" i="1" s="1"/>
  <c r="J33" i="1"/>
  <c r="H32" i="1"/>
  <c r="I32" i="1" s="1"/>
  <c r="N31" i="1"/>
  <c r="I30" i="1"/>
  <c r="H30" i="1"/>
  <c r="H28" i="1"/>
  <c r="AD25" i="1"/>
  <c r="AC25" i="1"/>
  <c r="AB25" i="1"/>
  <c r="AA25" i="1"/>
  <c r="Z25" i="1"/>
  <c r="Y25" i="1"/>
  <c r="X25" i="1"/>
  <c r="W25" i="1"/>
  <c r="V25" i="1"/>
  <c r="U25" i="1"/>
  <c r="O25" i="1"/>
  <c r="M25" i="1"/>
  <c r="L25" i="1"/>
  <c r="K25" i="1"/>
  <c r="I24" i="1"/>
  <c r="H24" i="1"/>
  <c r="I23" i="1"/>
  <c r="H23" i="1"/>
  <c r="AP20" i="1"/>
  <c r="J20" i="1"/>
  <c r="AP19" i="1"/>
  <c r="AH19" i="1"/>
  <c r="AH7" i="1" s="1"/>
  <c r="AG19" i="1"/>
  <c r="J19" i="1"/>
  <c r="AP18" i="1"/>
  <c r="AO18" i="1" s="1"/>
  <c r="AO7" i="1" s="1"/>
  <c r="I18" i="1"/>
  <c r="H18" i="1"/>
  <c r="AP17" i="1"/>
  <c r="AG17" i="1"/>
  <c r="J17" i="1"/>
  <c r="I15" i="1"/>
  <c r="H15" i="1"/>
  <c r="J14" i="1"/>
  <c r="I11" i="1"/>
  <c r="H11" i="1"/>
  <c r="J10" i="1"/>
  <c r="I9" i="1"/>
  <c r="H9" i="1"/>
  <c r="AP8" i="1"/>
  <c r="I8" i="1"/>
  <c r="H8" i="1"/>
  <c r="AR7" i="1"/>
  <c r="AQ7" i="1"/>
  <c r="AN7" i="1"/>
  <c r="AM7" i="1"/>
  <c r="AL7" i="1"/>
  <c r="AK7" i="1"/>
  <c r="AJ7" i="1"/>
  <c r="AI7" i="1"/>
  <c r="AE7" i="1"/>
  <c r="AD7" i="1"/>
  <c r="AC7" i="1"/>
  <c r="AB7" i="1"/>
  <c r="AA7" i="1"/>
  <c r="Z7" i="1"/>
  <c r="Y7" i="1"/>
  <c r="X7" i="1"/>
  <c r="W7" i="1"/>
  <c r="V7" i="1"/>
  <c r="U7" i="1"/>
  <c r="T7" i="1"/>
  <c r="S7" i="1"/>
  <c r="R7" i="1"/>
  <c r="O7" i="1"/>
  <c r="N7" i="1"/>
  <c r="M7" i="1"/>
  <c r="L7" i="1"/>
  <c r="K7" i="1"/>
  <c r="H34" i="1" l="1"/>
  <c r="R25" i="1"/>
  <c r="J49" i="1"/>
  <c r="J9" i="1"/>
  <c r="H7" i="1"/>
  <c r="I7" i="1"/>
  <c r="H25" i="1"/>
  <c r="J25" i="1" s="1"/>
  <c r="AG7" i="1"/>
  <c r="J51" i="1"/>
  <c r="N25" i="1"/>
  <c r="J53" i="1"/>
  <c r="J57" i="1"/>
  <c r="I25" i="1"/>
  <c r="H57" i="1"/>
  <c r="I46" i="1"/>
  <c r="J46" i="1" s="1"/>
  <c r="AP7" i="1"/>
  <c r="T38" i="1"/>
  <c r="T25" i="1" s="1"/>
  <c r="J28" i="1"/>
</calcChain>
</file>

<file path=xl/sharedStrings.xml><?xml version="1.0" encoding="utf-8"?>
<sst xmlns="http://schemas.openxmlformats.org/spreadsheetml/2006/main" count="559" uniqueCount="313">
  <si>
    <r>
      <t>Pažangos Priemonė</t>
    </r>
    <r>
      <rPr>
        <i/>
        <sz val="11"/>
        <rFont val="Calibri"/>
        <family val="2"/>
        <charset val="186"/>
        <scheme val="minor"/>
      </rPr>
      <t xml:space="preserve"> |Progress Measure (National Strategic Document)</t>
    </r>
  </si>
  <si>
    <t>2021-2027 m. PMIF programos</t>
  </si>
  <si>
    <r>
      <t xml:space="preserve">Siektini 2021-2027 m. PMIF programos rodikliai | </t>
    </r>
    <r>
      <rPr>
        <b/>
        <i/>
        <sz val="8"/>
        <rFont val="Calibri"/>
        <family val="2"/>
        <charset val="186"/>
        <scheme val="minor"/>
      </rPr>
      <t>Indicators of the AMIF 2021-2027 Programme</t>
    </r>
  </si>
  <si>
    <r>
      <t>Kvietimai teikti paraiškas |</t>
    </r>
    <r>
      <rPr>
        <i/>
        <sz val="8"/>
        <rFont val="Calibri"/>
        <family val="2"/>
        <charset val="186"/>
        <scheme val="minor"/>
      </rPr>
      <t xml:space="preserve"> AMIF calls for proposals</t>
    </r>
  </si>
  <si>
    <r>
      <t xml:space="preserve">1 Konkretus tikslas </t>
    </r>
    <r>
      <rPr>
        <i/>
        <sz val="8"/>
        <rFont val="Calibri"/>
        <family val="2"/>
        <charset val="186"/>
        <scheme val="minor"/>
      </rPr>
      <t xml:space="preserve">(Specific Objective 1) </t>
    </r>
  </si>
  <si>
    <r>
      <t xml:space="preserve">2 konkretus tikslas  </t>
    </r>
    <r>
      <rPr>
        <i/>
        <sz val="8"/>
        <rFont val="Calibri"/>
        <family val="2"/>
        <charset val="186"/>
        <scheme val="minor"/>
      </rPr>
      <t xml:space="preserve">(Specific Objective 2) </t>
    </r>
  </si>
  <si>
    <r>
      <t>3 konkretus tikslas</t>
    </r>
    <r>
      <rPr>
        <i/>
        <sz val="8"/>
        <rFont val="Calibri"/>
        <family val="2"/>
        <charset val="186"/>
        <scheme val="minor"/>
      </rPr>
      <t xml:space="preserve"> (Specific Objective 3)</t>
    </r>
  </si>
  <si>
    <r>
      <t xml:space="preserve">4 konkretus tikslas  </t>
    </r>
    <r>
      <rPr>
        <i/>
        <sz val="8"/>
        <rFont val="Calibri"/>
        <family val="2"/>
        <charset val="186"/>
        <scheme val="minor"/>
      </rPr>
      <t>(Specific Objective 4)</t>
    </r>
  </si>
  <si>
    <r>
      <t xml:space="preserve">Konkretus tikslas </t>
    </r>
    <r>
      <rPr>
        <i/>
        <sz val="12"/>
        <color theme="1"/>
        <rFont val="Calibri"/>
        <family val="2"/>
        <charset val="186"/>
        <scheme val="minor"/>
      </rPr>
      <t>(Specific Objective)</t>
    </r>
  </si>
  <si>
    <r>
      <t xml:space="preserve">Veikla
</t>
    </r>
    <r>
      <rPr>
        <i/>
        <sz val="11"/>
        <rFont val="Calibri"/>
        <family val="2"/>
        <charset val="186"/>
        <scheme val="minor"/>
      </rPr>
      <t>Activity</t>
    </r>
  </si>
  <si>
    <t>Activity title in English</t>
  </si>
  <si>
    <r>
      <t xml:space="preserve">Veiklos tipas | </t>
    </r>
    <r>
      <rPr>
        <i/>
        <sz val="11"/>
        <rFont val="Calibri"/>
        <family val="2"/>
        <charset val="186"/>
        <scheme val="minor"/>
      </rPr>
      <t>Activity type</t>
    </r>
  </si>
  <si>
    <r>
      <t xml:space="preserve">Galimi pareiškėjai | </t>
    </r>
    <r>
      <rPr>
        <i/>
        <sz val="11"/>
        <rFont val="Calibri"/>
        <family val="2"/>
        <charset val="186"/>
        <scheme val="minor"/>
      </rPr>
      <t>Types of potential applicants</t>
    </r>
  </si>
  <si>
    <t xml:space="preserve">Projektų atrankos būdas  </t>
  </si>
  <si>
    <t>Finansavimo forma</t>
  </si>
  <si>
    <t>Skiriamos lėšos 
PMIF, ES</t>
  </si>
  <si>
    <r>
      <t>Skiriamos lėšos 
PMIF, BF |</t>
    </r>
    <r>
      <rPr>
        <i/>
        <sz val="11"/>
        <rFont val="Calibri"/>
        <family val="2"/>
        <charset val="186"/>
        <scheme val="minor"/>
      </rPr>
      <t xml:space="preserve"> Allocation of national contribution to AMIF</t>
    </r>
  </si>
  <si>
    <r>
      <t xml:space="preserve">Finansavimo proporcija | </t>
    </r>
    <r>
      <rPr>
        <i/>
        <sz val="11"/>
        <rFont val="Calibri"/>
        <family val="2"/>
        <charset val="186"/>
        <scheme val="minor"/>
      </rPr>
      <t>Financing proportion</t>
    </r>
  </si>
  <si>
    <r>
      <t xml:space="preserve">Investicijų tikslas | </t>
    </r>
    <r>
      <rPr>
        <i/>
        <sz val="11"/>
        <rFont val="Calibri"/>
        <family val="2"/>
        <charset val="186"/>
        <scheme val="minor"/>
      </rPr>
      <t>Aim of the investment</t>
    </r>
  </si>
  <si>
    <r>
      <t>Atrankos būdas / pareiškėjas |</t>
    </r>
    <r>
      <rPr>
        <i/>
        <sz val="8"/>
        <rFont val="Calibri"/>
        <family val="2"/>
        <charset val="186"/>
        <scheme val="minor"/>
      </rPr>
      <t xml:space="preserve"> Type of selection </t>
    </r>
  </si>
  <si>
    <r>
      <t xml:space="preserve">Planuojama kvietimo suma | </t>
    </r>
    <r>
      <rPr>
        <i/>
        <sz val="8"/>
        <rFont val="Calibri"/>
        <family val="2"/>
        <charset val="186"/>
        <scheme val="minor"/>
      </rPr>
      <t>Planned allocation</t>
    </r>
  </si>
  <si>
    <r>
      <t xml:space="preserve">Planuojamas kvietimo paskelbimo mėnuo | </t>
    </r>
    <r>
      <rPr>
        <i/>
        <sz val="8"/>
        <rFont val="Calibri"/>
        <family val="2"/>
        <charset val="186"/>
        <scheme val="minor"/>
      </rPr>
      <t xml:space="preserve">Planned date of call launch </t>
    </r>
  </si>
  <si>
    <t>Kvietimų nr. arba projektų nr.</t>
  </si>
  <si>
    <r>
      <t xml:space="preserve">Intervencijos kodas | </t>
    </r>
    <r>
      <rPr>
        <i/>
        <sz val="8"/>
        <rFont val="Calibri"/>
        <family val="2"/>
        <charset val="186"/>
        <scheme val="minor"/>
      </rPr>
      <t>Intervention code</t>
    </r>
  </si>
  <si>
    <t>P.1.1. Tikslinei grupei priklausančių asmenų, kuriems teikiama parama priėmimo ir prieglobsčio sistemų srityje, skaičius</t>
  </si>
  <si>
    <t>P.1.1.1. Tikslinei grupei priklausančių asmenų, kuriems teikiama teisinė pagalba ir teisinio atstovavimo paslaugos, skaičius</t>
  </si>
  <si>
    <t>P.1.1.3. Pažeidžiamų asmenų ir nelydimų nepilnamečių, kuriems teikiama pagalba, skaičius</t>
  </si>
  <si>
    <t>P.1.2. Prieglobsčio srityje dirbančių asmenų, dalyvavusių mokymuose prieglobsčio srities temomis, skaičius</t>
  </si>
  <si>
    <t>P.1.3. Vadovaujantis Sąjungos acquis priėmimo infrastruktūroje naujai sukurtų vietų skaičius</t>
  </si>
  <si>
    <t>P.1.3.1. &lt;...&gt;nelydimiems nepilnamečiams naujai sukurtų vietų skaičius</t>
  </si>
  <si>
    <t>P.1.4. Vadovaujantis Sąjungos acquis priėmimo infrastruktūroje renovuotų arba atnaujintų vietų skaičius</t>
  </si>
  <si>
    <t>P.1.4.1. &lt;...&gt;renovuotų arba atnaujintų vietų nelydimiems nepilnamečiams skaičius</t>
  </si>
  <si>
    <t xml:space="preserve">R.1.1. Prieglobsčio srityje dirbančių asmenų, baigusių dalyvavimą mokymuose  prieglobsčio srities temomis, ir manančių, kad mokymai yra naudingi jų darbui, skaičius </t>
  </si>
  <si>
    <t>R.1.2. Prieglobsčio srityje dirbančių asmenų, baigusių dalyvavimą mokymuose prieglobsčio srities temomis, kurie praėjus trims mėnesiams po dalyvavimo mokymuose pranešė, kad naudojasi mokymo metu įgytais įgūdžiais ir kompetencijomis, skaičius</t>
  </si>
  <si>
    <t>R.1.3. Asmenų, kurie buvo apgyvendinti patalpose, kuriomis naudojamasi kaip alternatyva sulaikymui, skaičius</t>
  </si>
  <si>
    <t>R.1.3.1. Nelydimų nepilnamečių, kurie buvo apgyvendinti patalpose, kuriomis naudojamasi kaip alternatyva sulaikymui, skaičius</t>
  </si>
  <si>
    <t>R.1.3.2. Šeimos, kurios buvo apgyvendintos patalpose, kuriomis naudojamasi kaip alternatyva sulaikymui, skaičius</t>
  </si>
  <si>
    <t>P.2.1. Dalyvių, kurie buvo įtraukti į iki išvykimo taikomas priemones, skaičius</t>
  </si>
  <si>
    <t xml:space="preserve">P.2.2. Vietos ir regioninių valdžios institucijų, gaunančių paramą integracijos priemonėms </t>
  </si>
  <si>
    <t>P.2.3. Asmenų, kuriems teikiama parama integracijos metu, skaičius</t>
  </si>
  <si>
    <t>P.2.3.1 Asmenų, lankančių lietuvių kalbos kursus, skaičius</t>
  </si>
  <si>
    <t>P.2.3.2. Pilietinio orientavimo kursus lankančių dalyvių skaičius</t>
  </si>
  <si>
    <t>P.2.3.3. Asmeninio profesinio orientavimo paslaugas gavusių dalyvių skaičius</t>
  </si>
  <si>
    <t>P.2.4. Informacinių paketų ir kampanijų siekiant didinti informuotumą apie legalius migracijos į Europos Sąjungą kanalus skaičius;</t>
  </si>
  <si>
    <t>P.2.5. Asmenų, gaunančių informaciją arba pagalbą, kad galėtų pateikti prašymą dėl šeimos susijungimo, skaičius</t>
  </si>
  <si>
    <t>P.2.6. Asmenų, kurie naudojasi mobilumo programomis, skaičius</t>
  </si>
  <si>
    <t>P.2.7. Integracijos projektų, kurių atveju projekto vykdytojas arba projekto partneris yra vietos ir regioninės valdžios institucijos, skaičius</t>
  </si>
  <si>
    <t>R.2.1. Kalbos kursus lankiusių dalyvių, kurių priimančiosios šalies kalbos mokėjimo lygis baigus kalbos kursus pakilo bent vienu lygiu pagal Bendrą Europos kalbų mokėjimo orientacinę sistemą arba lygiavertę nacionalinę sistemą, skaičius</t>
  </si>
  <si>
    <t>R.2.9. Dalyvių, kurie mano, kad dalyvavimas projekte padėjo jiems integracijos metu, skaičius</t>
  </si>
  <si>
    <t>R.2.3. Dalyvių, kurie pateikė prašymus dėl trečiojoje valstybėje įgytos jų kvalifikacijos / įgūdžių pripažinimo / įvertinimo, skaičius</t>
  </si>
  <si>
    <t>R.2.4. dalyvių, kurie pateikė prašymus dėl ilgalaikio gyventojo statuso, skaičius</t>
  </si>
  <si>
    <t>P.3.1. Asmenų, dalyvavusių mokymų veiklose, skaičius</t>
  </si>
  <si>
    <t>P.3.2. Įsigytų įrangos vienetų skaičius, įskaitant įsigytų arba atnaujintų Informacinių ir ryšių technologijų (IRT) infrastruktūros skaičius</t>
  </si>
  <si>
    <t>P.3.3. Grąžinamų asmenų, kuriems buvo suteikta reintegracijos pagalba, skaičius</t>
  </si>
  <si>
    <t>P.3.4. Sulaikymo centruose sukurtų vietų skaičius</t>
  </si>
  <si>
    <t>P.3.5. Atnaujintų arba renovuotų vietų sulaikymo centruose skaičius</t>
  </si>
  <si>
    <t>R.3.1. Savanoriškai grįžusių asmenų skaičius</t>
  </si>
  <si>
    <t>R.3.2. Išsiųstų grąžinamų asmenų skaičius</t>
  </si>
  <si>
    <t>R.3.3. Grąžinamų asmenų, kuriems taikomos alternatyvios sulaikymui priemonės, skaičius</t>
  </si>
  <si>
    <t>R.4.3. Tarptautinės apsaugos 
prašytojų ir asmenų,
kuriems suteikta 
tarptautinė apsauga, 
perduotų iš vienos 
valstybės narės į kitą,
skaičius</t>
  </si>
  <si>
    <t>R.4.4. Europos Sąjungoje
perkeltų asmenų skaičius</t>
  </si>
  <si>
    <t xml:space="preserve">R.4.5. Pagal humanitarinio priėmimo planą perkeltų asmenų skaičius </t>
  </si>
  <si>
    <t xml:space="preserve">1. Užsieniečių integracijos sistemos EBPO valstybėse narėse analizė, siekiant pritaikyti gerąją praktiką Lietuvos užsieniečių integracijos sistemoje ir nustatyti valstybės ir savivaldybių institucijų bei įstaigų atsakomybes ir funkcijas </t>
  </si>
  <si>
    <t>Analysis of the system of integration of foreigners in OECD member states in order to apply good practice in the integration system of foreigners in Lithuania and to determine the responsibilities and functions of state and municipal institutions and bodies</t>
  </si>
  <si>
    <t>A</t>
  </si>
  <si>
    <t>-</t>
  </si>
  <si>
    <t>2. Teisės aktų tobulinimas, siekiant aiškiai nustatyti valstybės ir savivaldybių institucijų bei įstaigų funkcijas ir atsakomybes užsieniečių integracijos srityje</t>
  </si>
  <si>
    <t>Improvement of legal acts in order to clearly define the functions and responsibilities of state and municipal institutions and bodies in the field of integration of foreigners</t>
  </si>
  <si>
    <t>R</t>
  </si>
  <si>
    <t>2(1). Teisės aktų tobulinimas, siekiant perkelti ES Migracijos ir prieglobsčio pakto reikalavimus į nacionalinę teisę</t>
  </si>
  <si>
    <t>Improvement of legal acts in order to transpose the requirements set by the Migration and asylum pact into national legislation</t>
  </si>
  <si>
    <t>2021-2027 m. PMIF programos 2 konkretus tikslas "Stiprinti ir plėtoti legalią migraciją į valstybes nares atsižvelgiant į jų ekonominius ir socialinius poreikius, taip pat skatinti veiksmingą trečiųjų valstybių piliečių integraciją bei socialinę įtrauktį ir prie jos prisidėti"</t>
  </si>
  <si>
    <t xml:space="preserve">2(2). Ankstyvosios integracijos priemonės </t>
  </si>
  <si>
    <t>2(2). Early integration measures</t>
  </si>
  <si>
    <t>I</t>
  </si>
  <si>
    <t>Priėmimo ir integracijos agentūra (toliau - PIIA)</t>
  </si>
  <si>
    <t>P</t>
  </si>
  <si>
    <t>D</t>
  </si>
  <si>
    <t xml:space="preserve">Ankstyvosios integracijos priemonės </t>
  </si>
  <si>
    <t>Valstybės planavimas</t>
  </si>
  <si>
    <t>2026 m. rugsėjis</t>
  </si>
  <si>
    <t>PMIF-2.08-V-01</t>
  </si>
  <si>
    <t>II.005 (Integracijos priemonės – pilietinis ugdymas ir kitoks mokymas)</t>
  </si>
  <si>
    <t>3. Užsieniečių integracijos stebėsenos ir analizės, koordinavimo sistemos Lietuvos Respublikoje sukūrimas</t>
  </si>
  <si>
    <t>3. Development of a system for monitoring and analyzing the integration of foreigners in the Republic of Lithuania</t>
  </si>
  <si>
    <t>SPPD</t>
  </si>
  <si>
    <t>Užsieniečių integracijos stebėsenos ir analizės, koordinavimo sistemos Lietuvos Respublikoje sukūrimas</t>
  </si>
  <si>
    <t>Valstybės planavimas/ SPPD</t>
  </si>
  <si>
    <t>PMIF-2.01-V-02-01</t>
  </si>
  <si>
    <t xml:space="preserve">II.001.Integracijos strategijų plėtra </t>
  </si>
  <si>
    <t>4. Užsieniečiams paslaugas teikiančių asmenų kompetencijų, reikalingų pažeidžiamiems asmenims atpažinti ir paslaugoms jiems teikti, didinimas ir kvalifikacijos tobulinimas</t>
  </si>
  <si>
    <t>4. Increasing the competences of persons providing services to foreigners, necessary to identify vulnerable persons and provide services to them, and improving their qualifications</t>
  </si>
  <si>
    <t>Viešieji ir privatieji juridiniai asmenys, tarptautinės organizacijos ar jų padaliniai, teisėtai veikiantys Lietuvos Respublikoje</t>
  </si>
  <si>
    <t>K</t>
  </si>
  <si>
    <t>Užsieniečiams paslaugas teikiančių asmenų kompetencijų, reikalingų pažeidžiamiems asmenims atpažinti ir paslaugoms jiems teikti, didinimas ir kvalifikacijos tobulinimas</t>
  </si>
  <si>
    <t>Projektų konkursas</t>
  </si>
  <si>
    <t>PMIF-2.01-K-01-02</t>
  </si>
  <si>
    <t xml:space="preserve">Viešieji ir privatieji juridiniai asmenys, tarptautinės organizacijos ar jų padaliniai, teisėtai veikiantys Lietuvos Respublikoje </t>
  </si>
  <si>
    <t xml:space="preserve">Sukurti akredituotą nuotolinio mokymo programą specialistams, dirbantiems sveikatos sektoriuje, siekiant didinti užsieniečių prieigą prie sveikatos paslaugų bei jų kokybę. </t>
  </si>
  <si>
    <t>PMIF-2.09-K-01</t>
  </si>
  <si>
    <t xml:space="preserve">4 (1). Užsieniečių sociokultūrinių žinių didinimo ir psichikos sveikatos, psichosocialinės pagalbos teikimo užsieniečiams sąlygų gerinimas </t>
  </si>
  <si>
    <t>4(1). Development of the Sociocultural Introduction to Lithuania training programme and the Mental Health Promotion and Psychosocial Support for Refugees programme</t>
  </si>
  <si>
    <t>PIIA</t>
  </si>
  <si>
    <t>Stiprinti sąlygas užsieniečiams gauti sociokultūrinių žinių apie Lietuvą bei gerinti sąlygas sisteminiam užsieniečiams skirtų psichikos sveikatos stiprinimo bei psichosocialinės pagalbos teikimo intervencijų plėtojimui.</t>
  </si>
  <si>
    <t>Valstybės planavimas (PIIA)</t>
  </si>
  <si>
    <t>PMIF-2.01-V-04</t>
  </si>
  <si>
    <t>Sociokultūrinių žinių apie Lietuvą teikimas ir psichikos sveikatos stiprinimo bei psichosocialinės pagalbos teikimas</t>
  </si>
  <si>
    <t>5. Užsieniečių integraciją skatinančios komunikacijos kampanijos, orientuotos į skirtingus tikslus (pvz., neteisėto darbo rizika, viešosios nuomonės keitimas), organizavimas</t>
  </si>
  <si>
    <t>5. Organization of a communication campaign promoting the integration of foreigners focused on different objectives (e.g. risk of illegal work, changing public opinion)</t>
  </si>
  <si>
    <t xml:space="preserve">	
Lietuvos migracijos politikos gairių, patvirtintų Lietuvos Respublikos Vyriausybės 2014 m. sausio 22 d. nutarimu Nr. 79 „Dėl Lietuvos migracijos politikos gairių patvirtinimo“, 6.2.5 papunktyje nurodytas subjektas</t>
  </si>
  <si>
    <t>Informacijos sklaida apie legalios migracijos kelius, nelegalios migracijos rizikas, nelegalaus darbo rizikas, darbuotojų ir darbdavių  teises ir pareigas</t>
  </si>
  <si>
    <t>PMIF-2.04-V-01</t>
  </si>
  <si>
    <t>II. 006 Priimančioji visuomenė: supažindinimas, dalyvavimas ir mainai</t>
  </si>
  <si>
    <t>2026 m. sausis</t>
  </si>
  <si>
    <t>II.003 (Integravimo priemonės – informavimas ir orientavimas, vieno langelio principas)</t>
  </si>
  <si>
    <t>6. Medijų sektoriaus profesionalų gebėjimų stiprinimas siekiant geresnio visuomenės informavimo apie migracijos procesus</t>
  </si>
  <si>
    <t>6. Strengthening the capacities of media sector professionals in order to improve public awareness of migration processes</t>
  </si>
  <si>
    <t>Medijų sektoriaus profesionalų gebėjimų stiprinimas siekiant geresnio visuomenės informavimo apie migracijos procesus</t>
  </si>
  <si>
    <t xml:space="preserve">7. Vertimo paslaugų centralizavimas </t>
  </si>
  <si>
    <t>7. Cetralizing services of interpretation</t>
  </si>
  <si>
    <t>Vertimo paslaugų centralizavimas</t>
  </si>
  <si>
    <t>Valstybės planavimas/PIIA</t>
  </si>
  <si>
    <t>PMIF-2.02-V-01-01</t>
  </si>
  <si>
    <t>II.003.Integracijos priemonės – informavimas ir orientavimas, vieno langelio principas </t>
  </si>
  <si>
    <t>8. Lietuvių kalbos mokymo pritaikomumo ir prieinamumo didinimas</t>
  </si>
  <si>
    <t xml:space="preserve">8. Strengthening the relevance and accessibility of Lithuanian language training </t>
  </si>
  <si>
    <t>Kultūros ministerija</t>
  </si>
  <si>
    <t xml:space="preserve"> Lietuvių kalbos mokymo pritaikomumo ir prieinamumo didinimas</t>
  </si>
  <si>
    <t>PMIF-2.03-V-01-01;
PMIF-2.03-V-02-01</t>
  </si>
  <si>
    <t>II.004 (Integracijos priemonės. Kalbų mokymas)</t>
  </si>
  <si>
    <r>
      <t xml:space="preserve">9. Paslaugų teikimas užsieniečiams: informavimas, konsultavimas, socialinės paslaugos, atvejo vadyba ir kt. </t>
    </r>
    <r>
      <rPr>
        <i/>
        <sz val="11"/>
        <rFont val="Calibri"/>
        <family val="2"/>
        <charset val="186"/>
        <scheme val="minor"/>
      </rPr>
      <t>(valstybės projektų planavimo būdu, papildant savivaldybių paslaugas)</t>
    </r>
  </si>
  <si>
    <r>
      <t xml:space="preserve">9. Provision of services to foreigners: information, counseling, social services, case management, etc. </t>
    </r>
    <r>
      <rPr>
        <i/>
        <sz val="11"/>
        <rFont val="Calibri"/>
        <family val="2"/>
        <charset val="186"/>
        <scheme val="minor"/>
      </rPr>
      <t>(by means of state project planning, supplementing municipal services)</t>
    </r>
  </si>
  <si>
    <t>Savivaldybių administracijos, savivaldybių valdomos įmonės, savivaldybės administravimo subjektai</t>
  </si>
  <si>
    <t>Integracijos paslaugos savivaldybėse</t>
  </si>
  <si>
    <t>PMIF-2.01-V-03</t>
  </si>
  <si>
    <r>
      <t xml:space="preserve">9(2). Paslaugų teikimas užsieniečiams: informavimas, konsultavimas, socialinės paslaugos, atvejo vadyba ir kt. </t>
    </r>
    <r>
      <rPr>
        <i/>
        <sz val="11"/>
        <rFont val="Calibri"/>
        <family val="2"/>
        <charset val="186"/>
        <scheme val="minor"/>
      </rPr>
      <t>(konkurso būdu, papildant savivaldybių paslaugas)</t>
    </r>
  </si>
  <si>
    <r>
      <t xml:space="preserve">9(2). Provision of services to foreigners: information, counseling, social services, case management, etc. </t>
    </r>
    <r>
      <rPr>
        <i/>
        <sz val="11"/>
        <rFont val="Calibri"/>
        <family val="2"/>
        <charset val="186"/>
        <scheme val="minor"/>
      </rPr>
      <t>(by means of open call, supplementing municipal services)</t>
    </r>
  </si>
  <si>
    <t>PMIF-2.01-K-02; 
PMIF-2.01-K-03; 
PMIF-2.01-K-04; 
PMIF-2.01-K-05; 
PMIF-2.01-K-06</t>
  </si>
  <si>
    <t>Paslaugų teikimas ir saugus būstas prekybos žmonėmis aukoms</t>
  </si>
  <si>
    <t>PMIF-1.08-K-01-01</t>
  </si>
  <si>
    <t>II.002 (Prekybos žmonėmis aukos)</t>
  </si>
  <si>
    <t>9(3). Vaikų iš trečiųjų šalių įtraukties į švietimo sistemą stiprinimas</t>
  </si>
  <si>
    <t>9(3). Strengthening the inclusion of children from third countries in the education system   </t>
  </si>
  <si>
    <t>Vaikų iš trečiųjų šalių įtraukties į švietimo sistemą stiprinimas</t>
  </si>
  <si>
    <t xml:space="preserve">2026 m. kovas
</t>
  </si>
  <si>
    <t>PMIF-2.05-K-01</t>
  </si>
  <si>
    <t>II.011 (Pažeidžiami asmenys, įskaitant nelydimus nepilnamečius)</t>
  </si>
  <si>
    <t>9(4). Ukrainiečiams skirtos reabilitacijos paslaugos</t>
  </si>
  <si>
    <t>9(4). Rehabilitation services for Ukrainians</t>
  </si>
  <si>
    <t>Vertinama</t>
  </si>
  <si>
    <t>Ukrainiečiams skirtos reabilitacijos paslaugos</t>
  </si>
  <si>
    <t>2025 m. lapkritis</t>
  </si>
  <si>
    <t>PMIF-2.06-V-01</t>
  </si>
  <si>
    <t>9(5). Iš Ukrainos pasitraukusių asmenų ryšių su Ukraina palaikymas. Integracijos ir reintegracijos galimybių didinimas</t>
  </si>
  <si>
    <t xml:space="preserve">9(5). Fostering connection and return pathways for displaced persons from Ukraine </t>
  </si>
  <si>
    <t>Iš Ukrainos pasitraukusių asmenų ryšių su Ukraina palaikymas. Integracijos ir reintegracijos galimybių didinimas</t>
  </si>
  <si>
    <t>2026 m. lapkritis</t>
  </si>
  <si>
    <t>PMIF-2.07-K-01</t>
  </si>
  <si>
    <t>2021-2027 m. PMIF programos 1 konkretus tikslas "Stiprinti ir plėtoti visus bendros Europos prieglobsčio sistemos aspektus, įskaitant jos išorės aspektą"</t>
  </si>
  <si>
    <t>10. ES valstybėse narėse taikomų prieglobsčio prašytojų priėmimo sistemų analizės atlikimas (Europos Sąjungos Prieglobsčio agentūra)</t>
  </si>
  <si>
    <t xml:space="preserve">10. Analyzing the reception systems of asylum seekers in EU member states </t>
  </si>
  <si>
    <t>11. Lietuvos Respublikos įstatymo „Dėl užsieniečių teisinės padėties“ ir kitų teisės aktų pakeitimų projektų rengimas, siekiant sudaryti tinkamas sąlygas prieglobsčio prašytojams ir gavėjams Pabėgėlių priėmimo centre arba kitoje Lietuvos Respublikos Vyriausybės įgaliotoje institucijoje</t>
  </si>
  <si>
    <t>11. Preparation of draft amendments to the Law of the Republic of Lithuania "On the Legal Status of Foreigners" and other legal acts in order to create suitable conditions for asylum seekers and recipients at the Refugee Reception Center or other institution authorized by the Government of the Republic of Lithuania</t>
  </si>
  <si>
    <t>12. Prieglobsčio prašytojų ir kitų pažeidžiamų tikslinių grupių priėmimo infrastruktūros atnaujinimas ir plėtra</t>
  </si>
  <si>
    <t xml:space="preserve">12.Renewal and development of infrastructure for reception of asylum seekers and other vulnerable groups </t>
  </si>
  <si>
    <t>Valstybės sienos apsaugos tarnyba prie Lietuvos Respublikos vidaus reikalų ministerijos (toliau – VSAT), PIIA</t>
  </si>
  <si>
    <t>Prieglobsčio prašytojų priėmimo infrastruktūros plėtra Valstybės sienos apsaugos tarnyboje</t>
  </si>
  <si>
    <t>Valstybės planavimas/VSAT</t>
  </si>
  <si>
    <t>PMIF-1.01-V-01-01</t>
  </si>
  <si>
    <t>I.001 (Priėmimo sąlygos)</t>
  </si>
  <si>
    <t>Prieglobsčio prašytojų priėmimo infrastruktūra. Pabėgėlių administravimo informacinės sistemos tobulinimas</t>
  </si>
  <si>
    <t>PMIF-1.05-V-01-01</t>
  </si>
  <si>
    <t xml:space="preserve"> PIIA</t>
  </si>
  <si>
    <t>Prieglobsčio prašytojų priėmimo infrastruktūros Priėmimo ir integracijos agentūroje  modernizavimas ir plėtra </t>
  </si>
  <si>
    <t>PMIF-1.01-V-03</t>
  </si>
  <si>
    <t>Priėmimo infrastruktūros atnaujinimas ir plėtra (trečiasis etapas)</t>
  </si>
  <si>
    <t>PMIF-1.01-V-04</t>
  </si>
  <si>
    <t>12 (1). Prieglobsčio procedūros veiksmingumo didinimas</t>
  </si>
  <si>
    <t>Improving the efficiency of the asylum procedure</t>
  </si>
  <si>
    <t>Migracijos departamentas</t>
  </si>
  <si>
    <t>Prieglobsčio procedūros veiksmingumo didinimas</t>
  </si>
  <si>
    <t>PMIF-1.07-V-01-01</t>
  </si>
  <si>
    <t>I.002 (Prieglobsčio procedūros)</t>
  </si>
  <si>
    <t>12(2). Prieglobsčio prašytojų priėmimo infrastruktūros atnaujinimas ir plėtra</t>
  </si>
  <si>
    <t>12(2). Improving and developing the reception infrastructure</t>
  </si>
  <si>
    <t>VSAT, PIIA, SADM, Panevėžio miesto savivaldybės administracija, Jonavos rajono savivaldybės administracija</t>
  </si>
  <si>
    <t xml:space="preserve">AMIF SA "MS with borders under pressure"
</t>
  </si>
  <si>
    <t>Lietuvos priėmimo sistemos reforma</t>
  </si>
  <si>
    <t>Valstybės planavimas/ VSAT, PIIA, SADM, Panevėžio miesto savivaldybės administracija, Jonavos rajono savivaldybės administracija</t>
  </si>
  <si>
    <t>PMIF-1.01-V-02</t>
  </si>
  <si>
    <t>13. Materialinių sąlygų ir paslaugų teikimo užtikrinimas užsieniečiams</t>
  </si>
  <si>
    <t>13. Ensuring material conditions and provision of services for foreigners</t>
  </si>
  <si>
    <t>VSAT, PIIA, MD, Lietuvos advokatūra</t>
  </si>
  <si>
    <t>Materialinių sąlygų ir paslaugų teikimo užtikrinimas užsieniečiams laikino apgyvendinimo vietose</t>
  </si>
  <si>
    <t>PMIF-1.06-V-01</t>
  </si>
  <si>
    <t>Valstybės garantuojama teisinė pagalba prieglobsčio prašytojams</t>
  </si>
  <si>
    <t>Valstybės planavimas/MD</t>
  </si>
  <si>
    <t>PMIF-1.03-V-01-01</t>
  </si>
  <si>
    <t>PMIF-1.09-V-01-01</t>
  </si>
  <si>
    <t>PMIF-1.06-V-02</t>
  </si>
  <si>
    <t>13.(1) Materialinių sąlygų ir paslaugų teikimo užtikrinimas užsieniečiams</t>
  </si>
  <si>
    <t>Materialinių sąlygų ir paslaugų teikimo užtikrinimas užsieniečiams Vasltybės sienos apsaugos tarnybos padaliniuose</t>
  </si>
  <si>
    <t>PMIF-1.02-K-01-01</t>
  </si>
  <si>
    <t>14. Užsieniečių prieglobsčio ir priėmimo srityje dirbančių specialistų kompetencijų didinimas, gebėjimų stiprinimas</t>
  </si>
  <si>
    <t xml:space="preserve">14.Increasing the competences of specialists working in the field of asylum and reception of foreigners, strengthening their capacities </t>
  </si>
  <si>
    <t>Užsieniečių prieglobsčio ir priėmimo srityje dirbančių specialistų kompetencijų didinimas, gebėjimų stiprinimas</t>
  </si>
  <si>
    <t>Nacionalinė teismų administracija</t>
  </si>
  <si>
    <t xml:space="preserve">Teisminių institucijų gebėjimų stiprinimas </t>
  </si>
  <si>
    <t xml:space="preserve">2025 m. lapkritis </t>
  </si>
  <si>
    <t>PMIF-1.10-V-01-01</t>
  </si>
  <si>
    <t xml:space="preserve">15. Privalomos užsieniečių priėmimo paslaugų teikimo stebėsenos vykdymas ir Nepriklausomas pagrindinių teisių stebėsenos mechanizmas </t>
  </si>
  <si>
    <t>15. Monitoring of the provision of reception services for foreigners and the Independent Fundamental Rights Monitoring Mechanism</t>
  </si>
  <si>
    <t xml:space="preserve"> Privalomos užsieniečių priėmimo paslaugų teikimo stebėsena</t>
  </si>
  <si>
    <t>PMIF-1.04-K-01-01</t>
  </si>
  <si>
    <t>I.003 	
(Sąjungos acquis įgyvendinimas)</t>
  </si>
  <si>
    <t>Nepriklausoma pagrindinių teisių stebėsena</t>
  </si>
  <si>
    <t xml:space="preserve">2025 m. lapkritis 
</t>
  </si>
  <si>
    <t>PMIF-1.13-K-01-01</t>
  </si>
  <si>
    <t>15(1). Užtikrinti geriausius vaiko interesus</t>
  </si>
  <si>
    <t>15(1). Ensuring the Best Interests of the Child</t>
  </si>
  <si>
    <t>PIIA, Valstybės vaiko teisių apsaugos ir įvaikinimo tarnyba prie Socialinės apsaugos ir darbo ministerijos</t>
  </si>
  <si>
    <t>Užtikrinti geriausius vaiko interesus (1)</t>
  </si>
  <si>
    <t>PMIF-1.12-V-01</t>
  </si>
  <si>
    <t>I.005 (Specialių priėmimo ir procedūrinių poreikių turintys asmenys)</t>
  </si>
  <si>
    <t>Užtikrinti geriausius vaiko interesus (2)</t>
  </si>
  <si>
    <t xml:space="preserve">2025 m. lapkritis
</t>
  </si>
  <si>
    <t>PMIF-1.11-V-01</t>
  </si>
  <si>
    <t>15(2). Prieglobsčio prašytojų galimybių naudotis sveikatos priežiūros paslaugomis gerinimas</t>
  </si>
  <si>
    <t>15(2). Improving Access to Health Services for Asylum Seekers</t>
  </si>
  <si>
    <t>Prieglobsčio prašytojų galimybių naudotis sveikatos priežiūros paslaugomis gerinimas</t>
  </si>
  <si>
    <t>PMIF-1.13-V-01</t>
  </si>
  <si>
    <t>2021-2027 m. PMIF programos 3 konkretus tikslas "Prisidėti prie kovos su neteisėta migracija, stiprinant veiksmingą, saugų ir orumo nežeminantį grąžinimą ir readmisiją, taip pat prisidėti prie veiksmingos pradinės reintegracijos trečiosiose valstybėse ir ją skatinti"</t>
  </si>
  <si>
    <t>16.  Užsieniečių grąžinimo ir sulaikymo standartų laikymosi užtikrinimas</t>
  </si>
  <si>
    <t>16. Ensuring compliance with standards for the return and detention of foreigners</t>
  </si>
  <si>
    <t>VSAT, PIIA</t>
  </si>
  <si>
    <t>Sulaikymo infrastruktūros plėtra Užsieniečių registracijos centre</t>
  </si>
  <si>
    <t>PMIF-3.03-V-01-01</t>
  </si>
  <si>
    <t>III.002.Priėmimo ir (arba) sulaikymo sąlygos</t>
  </si>
  <si>
    <t>Paslaugų teikimas užsieniečiams sulaikymo centruose</t>
  </si>
  <si>
    <t>PMIF-3.05-V-01</t>
  </si>
  <si>
    <t>17. Priverstinio užsieniečių grąžinimo stebėsenos vykdymas</t>
  </si>
  <si>
    <t>17. Monitoring the forced return of foreigners</t>
  </si>
  <si>
    <t>Priverstinio užsieniečių grąžinimo stebėsenos vykdymas</t>
  </si>
  <si>
    <t>PMIF-3.02-K-02-01</t>
  </si>
  <si>
    <t>III.007.Priverstinio grąžinimo stebėsenos sistema</t>
  </si>
  <si>
    <t>PMIF-3.02-K-03</t>
  </si>
  <si>
    <t>18. Savanoriško užsieniečių grįžimo procedūrų ir reintegracijos organizavimas</t>
  </si>
  <si>
    <t>18. Organization of voluntary return procedures and reintegration of foreigners</t>
  </si>
  <si>
    <t xml:space="preserve">D   </t>
  </si>
  <si>
    <t>Savanoriško užsieniečių grįžimo procedūrų ir reintegracijos organizavimas</t>
  </si>
  <si>
    <t>PMIF-3.01-K-01-01</t>
  </si>
  <si>
    <t xml:space="preserve">III.004.Remiamas savanoriškas grįžimas </t>
  </si>
  <si>
    <t>PMIF-3.01-K-02</t>
  </si>
  <si>
    <r>
      <t xml:space="preserve">19. Užsieniečių priverstinio grąžinimo ir savanoriško grįžimo </t>
    </r>
    <r>
      <rPr>
        <i/>
        <sz val="11"/>
        <rFont val="Calibri"/>
        <family val="2"/>
        <charset val="186"/>
        <scheme val="minor"/>
      </rPr>
      <t>(kai jis organizuojamas padedant ES institucijoms)</t>
    </r>
    <r>
      <rPr>
        <sz val="11"/>
        <rFont val="Calibri"/>
        <family val="2"/>
        <charset val="186"/>
        <scheme val="minor"/>
      </rPr>
      <t xml:space="preserve"> procedūrų organizavimas  </t>
    </r>
  </si>
  <si>
    <t>19. Organization of procedures for forced return and voluntary return of foreigners (when it is organized with the help of EU institutions)</t>
  </si>
  <si>
    <t>VSAT</t>
  </si>
  <si>
    <t xml:space="preserve">D  </t>
  </si>
  <si>
    <t xml:space="preserve">Užsieniečių priverstinio grąžinimo ir savanoriško grįžimo procedūrų organizavimas  </t>
  </si>
  <si>
    <t>PMIF-3.04-V-01-01</t>
  </si>
  <si>
    <t>III.006.Išsiuntimo ir (arba) grąžinimo operacijos</t>
  </si>
  <si>
    <t>Užsieniečių priverstinio grąžinimo ir savanoriško grįžimo procedūrų organizavimas  (Įskaitant pasienio procedūroje)</t>
  </si>
  <si>
    <t>PMIF-3.04-V-02</t>
  </si>
  <si>
    <t>2021-2027 m. PMIF programos 4 konkretus tikslas</t>
  </si>
  <si>
    <t>20. Solidarumo mechanizmo tarp ES valstybių narių ir trečiųjų šalių įgyvendinimas</t>
  </si>
  <si>
    <t>20. Implementation of the solidarity mechanism between EU member states and third countries</t>
  </si>
  <si>
    <t>MD, VSAT, PIIA</t>
  </si>
  <si>
    <t>Solidarumo mechanizmo tarp ES valstybių narių ir trečiųjų šalių įgyvendinimas</t>
  </si>
  <si>
    <t>Valstybės planavimas/SADM</t>
  </si>
  <si>
    <t>PMIF-4.01-V-01; PMIF-4.02-V-01; PMIF-4.03-V-01</t>
  </si>
  <si>
    <t>IV.004.Humanitarinis priėmimas (19 straipsnis)</t>
  </si>
  <si>
    <t>2021-2027 m. PMIF programos techninė parama</t>
  </si>
  <si>
    <t>21. PMIF administravimo išlaidų apmokėjimas</t>
  </si>
  <si>
    <t>21. AMIF management costs</t>
  </si>
  <si>
    <t>SADM, ESFA</t>
  </si>
  <si>
    <t>PMIF administravimo išlaidų apmokėjimas</t>
  </si>
  <si>
    <t>V.001.Informavimas ir komunikacija</t>
  </si>
  <si>
    <t>V.002.Rengimas, įgyvendinimas, stebėsena ir kontrolė</t>
  </si>
  <si>
    <t>V.003.Vertinimas ir tyrimai, duomenų rinkimas</t>
  </si>
  <si>
    <t>V.004.Pajėgumų didinimas</t>
  </si>
  <si>
    <t>Finansavimo šaltinis | Financing source (Original OP or Paktas ir Ukrainos konkretūs veiksmai (Pact and Ukraine Specific Action))</t>
  </si>
  <si>
    <t>Paktas ir Ukrainos konkretūs veiksmai (Pact and Ukraine Specific Action)</t>
  </si>
  <si>
    <t>Įprasti veiksmai (Regular Actions)</t>
  </si>
  <si>
    <t xml:space="preserve">Priėmimo ir integracijos agentūros plėtra rizikos valdymo atvejams išaugus migracijos srautui  </t>
  </si>
  <si>
    <t>2024 m. birželis</t>
  </si>
  <si>
    <t>2025 m. birželis</t>
  </si>
  <si>
    <t>2026 m. spalis</t>
  </si>
  <si>
    <t>2026 m. vasaris</t>
  </si>
  <si>
    <t xml:space="preserve">2025 m. birželis </t>
  </si>
  <si>
    <t xml:space="preserve">2025 m. spalis </t>
  </si>
  <si>
    <t>2025 m. spalis</t>
  </si>
  <si>
    <t xml:space="preserve">2023 m. spalis </t>
  </si>
  <si>
    <t>2023 m. spalis</t>
  </si>
  <si>
    <t>2026 m. birželis</t>
  </si>
  <si>
    <t xml:space="preserve">2024 m. vasaris </t>
  </si>
  <si>
    <t>2024 m. vasaris</t>
  </si>
  <si>
    <t xml:space="preserve">2024 m. kovas
</t>
  </si>
  <si>
    <t xml:space="preserve">2025 m. balandis </t>
  </si>
  <si>
    <t>2023 m. rugpjūtis</t>
  </si>
  <si>
    <t>2024 m. lapkritis</t>
  </si>
  <si>
    <t xml:space="preserve">2025 m. gruodis </t>
  </si>
  <si>
    <t xml:space="preserve">2023 m. lapkritis </t>
  </si>
  <si>
    <t xml:space="preserve">2026 m. lapkritis </t>
  </si>
  <si>
    <t>2023 m. lapkritis</t>
  </si>
  <si>
    <t>2026 m. gruodis</t>
  </si>
  <si>
    <t>2027 m. rugsėjis</t>
  </si>
  <si>
    <t>2025 m. liepa</t>
  </si>
  <si>
    <t>2026 m. liepa. Kvietimo pratęsimas - spalis</t>
  </si>
  <si>
    <t>2027 m. liepa</t>
  </si>
  <si>
    <t>2024 m. rugpjūtis</t>
  </si>
  <si>
    <t>2026 m. liepa; kvietimo keitimas - 2027 m. kovas</t>
  </si>
  <si>
    <t>2024 m. balandis</t>
  </si>
  <si>
    <t xml:space="preserve">2025 m. rugpjūtis </t>
  </si>
  <si>
    <t>2027 m. balandis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</si>
</sst>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0\ _€_-;\-* #,##0.00\ _€_-;_-* &quot;-&quot;??\ _€_-;_-@_-"/>
  </numFmts>
  <fonts count="14" x14ac:knownFonts="1">
    <font>
      <sz val="11"/>
      <color theme="1"/>
      <name val="Calibri"/>
      <family val="2"/>
      <scheme val="minor"/>
    </font>
    <font>
      <sz val="11"/>
      <color theme="1"/>
      <name val="Calibri"/>
      <family val="2"/>
      <scheme val="minor"/>
    </font>
    <font>
      <sz val="12"/>
      <color theme="1"/>
      <name val="Calibri"/>
      <family val="2"/>
      <charset val="186"/>
      <scheme val="minor"/>
    </font>
    <font>
      <sz val="11"/>
      <name val="Calibri"/>
      <family val="2"/>
      <charset val="186"/>
      <scheme val="minor"/>
    </font>
    <font>
      <i/>
      <sz val="11"/>
      <name val="Calibri"/>
      <family val="2"/>
      <charset val="186"/>
      <scheme val="minor"/>
    </font>
    <font>
      <sz val="8"/>
      <name val="Calibri"/>
      <family val="2"/>
      <charset val="186"/>
      <scheme val="minor"/>
    </font>
    <font>
      <b/>
      <sz val="8"/>
      <name val="Calibri"/>
      <family val="2"/>
      <charset val="186"/>
      <scheme val="minor"/>
    </font>
    <font>
      <b/>
      <i/>
      <sz val="8"/>
      <name val="Calibri"/>
      <family val="2"/>
      <charset val="186"/>
      <scheme val="minor"/>
    </font>
    <font>
      <i/>
      <sz val="8"/>
      <name val="Calibri"/>
      <family val="2"/>
      <charset val="186"/>
      <scheme val="minor"/>
    </font>
    <font>
      <i/>
      <sz val="12"/>
      <color theme="1"/>
      <name val="Calibri"/>
      <family val="2"/>
      <charset val="186"/>
      <scheme val="minor"/>
    </font>
    <font>
      <sz val="11"/>
      <color theme="1"/>
      <name val="Arial"/>
      <family val="2"/>
      <charset val="186"/>
    </font>
    <font>
      <sz val="10"/>
      <name val="Calibri"/>
      <family val="2"/>
      <charset val="186"/>
      <scheme val="minor"/>
    </font>
    <font>
      <sz val="11"/>
      <name val="Calibri"/>
      <family val="2"/>
      <scheme val="minor"/>
    </font>
    <font>
      <sz val="8"/>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rgb="FFD9E2F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0" fillId="0" borderId="0"/>
  </cellStyleXfs>
  <cellXfs count="194">
    <xf numFmtId="0" fontId="0" fillId="0" borderId="0" xfId="0"/>
    <xf numFmtId="0" fontId="2" fillId="2" borderId="1" xfId="0" applyFont="1" applyFill="1" applyBorder="1" applyAlignment="1">
      <alignment vertical="center"/>
    </xf>
    <xf numFmtId="0" fontId="3" fillId="3" borderId="2" xfId="0" applyFont="1" applyFill="1" applyBorder="1" applyAlignment="1">
      <alignment vertical="center"/>
    </xf>
    <xf numFmtId="4" fontId="3" fillId="3" borderId="2" xfId="0" applyNumberFormat="1" applyFont="1" applyFill="1" applyBorder="1" applyAlignment="1">
      <alignment vertical="center"/>
    </xf>
    <xf numFmtId="43" fontId="3" fillId="3" borderId="3" xfId="1" applyFont="1" applyFill="1" applyBorder="1" applyAlignment="1">
      <alignment vertical="center"/>
    </xf>
    <xf numFmtId="43" fontId="3" fillId="4" borderId="0" xfId="1" applyFont="1" applyFill="1" applyBorder="1" applyAlignment="1">
      <alignment vertical="center"/>
    </xf>
    <xf numFmtId="0" fontId="5" fillId="5" borderId="0" xfId="0" applyFont="1" applyFill="1" applyAlignment="1">
      <alignment vertical="center"/>
    </xf>
    <xf numFmtId="0" fontId="6" fillId="6" borderId="4" xfId="0" applyFont="1" applyFill="1" applyBorder="1" applyAlignment="1">
      <alignment horizontal="left" vertical="center"/>
    </xf>
    <xf numFmtId="0" fontId="6" fillId="6" borderId="0" xfId="0" applyFont="1" applyFill="1" applyAlignment="1">
      <alignment horizontal="left" vertical="center"/>
    </xf>
    <xf numFmtId="0" fontId="6" fillId="6" borderId="6" xfId="0" applyFont="1" applyFill="1" applyBorder="1" applyAlignment="1">
      <alignment horizontal="left" vertical="center"/>
    </xf>
    <xf numFmtId="0" fontId="6" fillId="7" borderId="0" xfId="0" applyFont="1" applyFill="1" applyAlignment="1">
      <alignment horizontal="left" vertical="center"/>
    </xf>
    <xf numFmtId="0" fontId="6" fillId="7" borderId="6" xfId="0" applyFont="1" applyFill="1" applyBorder="1" applyAlignment="1">
      <alignment horizontal="left" vertical="center"/>
    </xf>
    <xf numFmtId="0" fontId="2" fillId="2" borderId="7" xfId="0" applyFont="1" applyFill="1" applyBorder="1" applyAlignment="1">
      <alignment vertical="center"/>
    </xf>
    <xf numFmtId="0" fontId="3" fillId="3" borderId="8" xfId="0" applyFont="1" applyFill="1" applyBorder="1" applyAlignment="1">
      <alignment vertical="center"/>
    </xf>
    <xf numFmtId="4" fontId="3" fillId="3" borderId="8" xfId="0" applyNumberFormat="1" applyFont="1" applyFill="1" applyBorder="1" applyAlignment="1">
      <alignment vertical="center"/>
    </xf>
    <xf numFmtId="43" fontId="3" fillId="3" borderId="9" xfId="1" applyFont="1" applyFill="1" applyBorder="1" applyAlignment="1">
      <alignment vertical="center"/>
    </xf>
    <xf numFmtId="0" fontId="5" fillId="6" borderId="10" xfId="0" applyFont="1" applyFill="1" applyBorder="1" applyAlignment="1">
      <alignment horizontal="left" vertical="center"/>
    </xf>
    <xf numFmtId="0" fontId="5" fillId="6" borderId="8" xfId="0" applyFont="1" applyFill="1" applyBorder="1" applyAlignment="1">
      <alignment horizontal="left" vertical="center"/>
    </xf>
    <xf numFmtId="0" fontId="5" fillId="6" borderId="9" xfId="0" applyFont="1" applyFill="1" applyBorder="1" applyAlignment="1">
      <alignment horizontal="left" vertical="center"/>
    </xf>
    <xf numFmtId="0" fontId="2" fillId="2" borderId="11" xfId="0" applyFont="1" applyFill="1" applyBorder="1" applyAlignment="1">
      <alignment vertical="center" wrapText="1"/>
    </xf>
    <xf numFmtId="0" fontId="3" fillId="3" borderId="9" xfId="0" applyFont="1" applyFill="1" applyBorder="1" applyAlignment="1">
      <alignment vertical="center" wrapText="1"/>
    </xf>
    <xf numFmtId="0" fontId="4" fillId="3" borderId="7" xfId="0" applyFont="1" applyFill="1" applyBorder="1" applyAlignment="1">
      <alignment vertical="center" wrapText="1"/>
    </xf>
    <xf numFmtId="0" fontId="3" fillId="3" borderId="7" xfId="0" applyFont="1" applyFill="1" applyBorder="1" applyAlignment="1">
      <alignment vertical="center" wrapText="1"/>
    </xf>
    <xf numFmtId="4" fontId="3" fillId="3" borderId="7" xfId="0" applyNumberFormat="1" applyFont="1" applyFill="1" applyBorder="1" applyAlignment="1">
      <alignment vertical="center" wrapText="1"/>
    </xf>
    <xf numFmtId="43" fontId="3" fillId="3" borderId="7" xfId="1" applyFont="1" applyFill="1" applyBorder="1" applyAlignment="1">
      <alignment vertical="center" wrapText="1"/>
    </xf>
    <xf numFmtId="43" fontId="3" fillId="4" borderId="7" xfId="1" applyFont="1" applyFill="1" applyBorder="1" applyAlignment="1">
      <alignment vertical="center" wrapText="1"/>
    </xf>
    <xf numFmtId="0" fontId="3" fillId="5" borderId="11" xfId="0" applyFont="1" applyFill="1" applyBorder="1" applyAlignment="1">
      <alignment vertical="center" wrapText="1"/>
    </xf>
    <xf numFmtId="0" fontId="5" fillId="5" borderId="11" xfId="0" applyFont="1" applyFill="1" applyBorder="1" applyAlignment="1">
      <alignment vertical="center" wrapText="1"/>
    </xf>
    <xf numFmtId="4" fontId="5" fillId="5" borderId="11" xfId="0" applyNumberFormat="1" applyFont="1" applyFill="1" applyBorder="1" applyAlignment="1">
      <alignment vertical="center" wrapText="1"/>
    </xf>
    <xf numFmtId="0" fontId="5" fillId="6" borderId="11" xfId="2" applyFont="1" applyFill="1" applyBorder="1" applyAlignment="1">
      <alignment horizontal="left" vertical="center" wrapText="1"/>
    </xf>
    <xf numFmtId="0" fontId="5" fillId="7" borderId="11" xfId="2" applyFont="1" applyFill="1" applyBorder="1" applyAlignment="1">
      <alignment horizontal="left" vertical="center" wrapText="1"/>
    </xf>
    <xf numFmtId="0" fontId="5" fillId="7" borderId="11" xfId="0" applyFont="1" applyFill="1" applyBorder="1" applyAlignment="1">
      <alignment horizontal="left" vertical="center" wrapText="1"/>
    </xf>
    <xf numFmtId="0" fontId="5" fillId="7" borderId="12" xfId="0" applyFont="1" applyFill="1" applyBorder="1" applyAlignment="1">
      <alignment horizontal="left" vertical="center" wrapText="1"/>
    </xf>
    <xf numFmtId="0" fontId="3" fillId="0" borderId="11" xfId="0" applyFont="1" applyBorder="1" applyAlignment="1">
      <alignment vertical="center" wrapText="1"/>
    </xf>
    <xf numFmtId="0" fontId="3" fillId="8" borderId="11" xfId="0" applyFont="1" applyFill="1" applyBorder="1" applyAlignment="1">
      <alignment vertical="center" wrapText="1"/>
    </xf>
    <xf numFmtId="4" fontId="3" fillId="8" borderId="11" xfId="1" applyNumberFormat="1" applyFont="1" applyFill="1" applyBorder="1" applyAlignment="1">
      <alignment vertical="center" wrapText="1"/>
    </xf>
    <xf numFmtId="4" fontId="3" fillId="8" borderId="11" xfId="1" applyNumberFormat="1" applyFont="1" applyFill="1" applyBorder="1" applyAlignment="1">
      <alignment vertical="center"/>
    </xf>
    <xf numFmtId="43" fontId="3" fillId="8" borderId="11" xfId="1" applyFont="1" applyFill="1" applyBorder="1" applyAlignment="1">
      <alignment vertical="center"/>
    </xf>
    <xf numFmtId="43" fontId="5" fillId="8" borderId="11" xfId="1" applyFont="1" applyFill="1" applyBorder="1" applyAlignment="1">
      <alignment vertical="center"/>
    </xf>
    <xf numFmtId="4" fontId="5" fillId="8" borderId="11" xfId="1" applyNumberFormat="1" applyFont="1" applyFill="1" applyBorder="1" applyAlignment="1">
      <alignment vertical="center"/>
    </xf>
    <xf numFmtId="43" fontId="5" fillId="8" borderId="5" xfId="1" applyFont="1" applyFill="1" applyBorder="1" applyAlignment="1">
      <alignment vertical="center"/>
    </xf>
    <xf numFmtId="164" fontId="5" fillId="8" borderId="11" xfId="1" applyNumberFormat="1" applyFont="1" applyFill="1" applyBorder="1" applyAlignment="1">
      <alignment horizontal="left" vertical="center"/>
    </xf>
    <xf numFmtId="164" fontId="5" fillId="8" borderId="12" xfId="1" applyNumberFormat="1" applyFont="1" applyFill="1" applyBorder="1" applyAlignment="1">
      <alignment horizontal="left" vertical="center"/>
    </xf>
    <xf numFmtId="0" fontId="2" fillId="2" borderId="5" xfId="0" applyFont="1" applyFill="1" applyBorder="1" applyAlignment="1">
      <alignment vertical="center"/>
    </xf>
    <xf numFmtId="43" fontId="5" fillId="4" borderId="11" xfId="1" applyFont="1" applyFill="1" applyBorder="1" applyAlignment="1">
      <alignment vertical="center"/>
    </xf>
    <xf numFmtId="4" fontId="3" fillId="9" borderId="11" xfId="0" applyNumberFormat="1" applyFont="1" applyFill="1" applyBorder="1" applyAlignment="1">
      <alignment vertical="center" wrapText="1"/>
    </xf>
    <xf numFmtId="43" fontId="3" fillId="9" borderId="11" xfId="0" applyNumberFormat="1" applyFont="1" applyFill="1" applyBorder="1" applyAlignment="1">
      <alignment vertical="center" wrapText="1"/>
    </xf>
    <xf numFmtId="4" fontId="5" fillId="9" borderId="11" xfId="0" applyNumberFormat="1" applyFont="1" applyFill="1" applyBorder="1" applyAlignment="1">
      <alignment vertical="center" wrapText="1"/>
    </xf>
    <xf numFmtId="43" fontId="5" fillId="9" borderId="11" xfId="0" applyNumberFormat="1" applyFont="1" applyFill="1" applyBorder="1" applyAlignment="1">
      <alignment vertical="center" wrapText="1"/>
    </xf>
    <xf numFmtId="164" fontId="6" fillId="9" borderId="11" xfId="0" applyNumberFormat="1" applyFont="1" applyFill="1" applyBorder="1" applyAlignment="1">
      <alignment horizontal="left" vertical="center" wrapText="1"/>
    </xf>
    <xf numFmtId="164" fontId="6" fillId="9" borderId="12" xfId="0" applyNumberFormat="1" applyFont="1" applyFill="1" applyBorder="1" applyAlignment="1">
      <alignment horizontal="left" vertical="center" wrapText="1"/>
    </xf>
    <xf numFmtId="0" fontId="3" fillId="0" borderId="7" xfId="0" applyFont="1" applyBorder="1" applyAlignment="1">
      <alignment vertical="center" wrapText="1"/>
    </xf>
    <xf numFmtId="4" fontId="3" fillId="0" borderId="11" xfId="1" applyNumberFormat="1" applyFont="1" applyFill="1" applyBorder="1" applyAlignment="1">
      <alignment vertical="center" wrapText="1"/>
    </xf>
    <xf numFmtId="0" fontId="3" fillId="10" borderId="7" xfId="0" applyFont="1" applyFill="1" applyBorder="1" applyAlignment="1">
      <alignment vertical="center" wrapText="1"/>
    </xf>
    <xf numFmtId="0" fontId="5" fillId="4" borderId="11" xfId="2" applyFont="1" applyFill="1" applyBorder="1" applyAlignment="1">
      <alignment vertical="center" wrapText="1"/>
    </xf>
    <xf numFmtId="164" fontId="5" fillId="8" borderId="11" xfId="0" applyNumberFormat="1" applyFont="1" applyFill="1" applyBorder="1" applyAlignment="1">
      <alignment horizontal="left" vertical="center" wrapText="1"/>
    </xf>
    <xf numFmtId="164" fontId="5" fillId="8" borderId="11" xfId="0" applyNumberFormat="1" applyFont="1" applyFill="1" applyBorder="1" applyAlignment="1">
      <alignment horizontal="left" vertical="center"/>
    </xf>
    <xf numFmtId="164" fontId="5" fillId="7" borderId="11" xfId="0" applyNumberFormat="1" applyFont="1" applyFill="1" applyBorder="1" applyAlignment="1">
      <alignment horizontal="left" vertical="center"/>
    </xf>
    <xf numFmtId="164" fontId="5" fillId="0" borderId="11" xfId="0" applyNumberFormat="1" applyFont="1" applyBorder="1" applyAlignment="1">
      <alignment horizontal="left" vertical="center"/>
    </xf>
    <xf numFmtId="0" fontId="11" fillId="8" borderId="11" xfId="0" applyFont="1" applyFill="1" applyBorder="1" applyAlignment="1">
      <alignment horizontal="left" vertical="center"/>
    </xf>
    <xf numFmtId="0" fontId="11" fillId="8" borderId="12" xfId="0" applyFont="1" applyFill="1" applyBorder="1" applyAlignment="1">
      <alignment horizontal="left" vertical="center"/>
    </xf>
    <xf numFmtId="164" fontId="5" fillId="8" borderId="12" xfId="0" applyNumberFormat="1" applyFont="1" applyFill="1" applyBorder="1" applyAlignment="1">
      <alignment horizontal="left" vertical="center"/>
    </xf>
    <xf numFmtId="0" fontId="3" fillId="0" borderId="1" xfId="0" applyFont="1" applyBorder="1" applyAlignment="1">
      <alignment vertical="center" wrapText="1"/>
    </xf>
    <xf numFmtId="0" fontId="3" fillId="0" borderId="11" xfId="2" applyFont="1" applyBorder="1" applyAlignment="1">
      <alignment vertical="center" wrapText="1"/>
    </xf>
    <xf numFmtId="0" fontId="3" fillId="0" borderId="0" xfId="0" applyFont="1" applyAlignment="1">
      <alignment vertical="center"/>
    </xf>
    <xf numFmtId="164" fontId="5" fillId="11" borderId="11" xfId="0" applyNumberFormat="1" applyFont="1" applyFill="1" applyBorder="1" applyAlignment="1">
      <alignment horizontal="left" vertical="center"/>
    </xf>
    <xf numFmtId="0" fontId="5" fillId="7" borderId="0" xfId="0" applyFont="1" applyFill="1" applyAlignment="1">
      <alignment horizontal="left" vertical="center"/>
    </xf>
    <xf numFmtId="43" fontId="3" fillId="9" borderId="11" xfId="1" applyFont="1" applyFill="1" applyBorder="1" applyAlignment="1">
      <alignment vertical="center" wrapText="1"/>
    </xf>
    <xf numFmtId="0" fontId="3" fillId="0" borderId="13" xfId="0" applyFont="1" applyBorder="1" applyAlignment="1">
      <alignment vertical="center" wrapText="1"/>
    </xf>
    <xf numFmtId="0" fontId="3" fillId="8" borderId="11" xfId="0" applyFont="1" applyFill="1" applyBorder="1" applyAlignment="1">
      <alignment vertical="center"/>
    </xf>
    <xf numFmtId="0" fontId="5" fillId="4" borderId="11" xfId="0" applyFont="1" applyFill="1" applyBorder="1" applyAlignment="1">
      <alignment vertical="center"/>
    </xf>
    <xf numFmtId="164" fontId="5" fillId="6" borderId="11" xfId="0" applyNumberFormat="1" applyFont="1" applyFill="1" applyBorder="1" applyAlignment="1">
      <alignment horizontal="left" vertical="center"/>
    </xf>
    <xf numFmtId="0" fontId="3" fillId="0" borderId="9" xfId="0" applyFont="1" applyBorder="1" applyAlignment="1">
      <alignment vertical="center" wrapText="1"/>
    </xf>
    <xf numFmtId="164" fontId="5" fillId="0" borderId="11" xfId="1" applyNumberFormat="1" applyFont="1" applyFill="1" applyBorder="1" applyAlignment="1">
      <alignment horizontal="left" vertical="center"/>
    </xf>
    <xf numFmtId="3" fontId="6" fillId="9" borderId="11" xfId="0" applyNumberFormat="1" applyFont="1" applyFill="1" applyBorder="1" applyAlignment="1">
      <alignment horizontal="right" vertical="center" wrapText="1"/>
    </xf>
    <xf numFmtId="43" fontId="3" fillId="0" borderId="11" xfId="1" applyFont="1" applyBorder="1" applyAlignment="1">
      <alignment vertical="center" wrapText="1"/>
    </xf>
    <xf numFmtId="164" fontId="5" fillId="6" borderId="11" xfId="0" applyNumberFormat="1" applyFont="1" applyFill="1" applyBorder="1" applyAlignment="1">
      <alignment horizontal="right" vertical="center"/>
    </xf>
    <xf numFmtId="164" fontId="5" fillId="0" borderId="11" xfId="0" applyNumberFormat="1" applyFont="1" applyBorder="1" applyAlignment="1">
      <alignment horizontal="right" vertical="center"/>
    </xf>
    <xf numFmtId="0" fontId="5" fillId="9" borderId="11" xfId="0" applyFont="1" applyFill="1" applyBorder="1" applyAlignment="1">
      <alignment vertical="center" wrapText="1"/>
    </xf>
    <xf numFmtId="4" fontId="3" fillId="0" borderId="11" xfId="1" applyNumberFormat="1" applyFont="1" applyBorder="1" applyAlignment="1">
      <alignment vertical="center" wrapText="1"/>
    </xf>
    <xf numFmtId="164" fontId="5" fillId="0" borderId="12" xfId="0" applyNumberFormat="1" applyFont="1" applyBorder="1" applyAlignment="1">
      <alignment horizontal="left" vertical="center"/>
    </xf>
    <xf numFmtId="3" fontId="6" fillId="9" borderId="11" xfId="0" applyNumberFormat="1" applyFont="1" applyFill="1" applyBorder="1" applyAlignment="1">
      <alignment horizontal="left" vertical="center" wrapText="1"/>
    </xf>
    <xf numFmtId="43" fontId="5" fillId="0" borderId="11" xfId="1" applyFont="1" applyBorder="1" applyAlignment="1">
      <alignment vertical="center" wrapText="1"/>
    </xf>
    <xf numFmtId="43" fontId="5" fillId="4" borderId="11" xfId="0" applyNumberFormat="1" applyFont="1" applyFill="1" applyBorder="1" applyAlignment="1">
      <alignment vertical="center" wrapText="1"/>
    </xf>
    <xf numFmtId="0" fontId="3" fillId="8" borderId="11" xfId="0" applyFont="1" applyFill="1" applyBorder="1" applyAlignment="1">
      <alignment horizontal="left" vertical="center"/>
    </xf>
    <xf numFmtId="43" fontId="3" fillId="0" borderId="11" xfId="1" applyFont="1" applyBorder="1" applyAlignment="1">
      <alignment vertical="center"/>
    </xf>
    <xf numFmtId="0" fontId="2" fillId="2" borderId="11" xfId="0" applyFont="1" applyFill="1" applyBorder="1" applyAlignment="1">
      <alignment vertical="center"/>
    </xf>
    <xf numFmtId="4" fontId="3" fillId="0" borderId="0" xfId="1" applyNumberFormat="1" applyFont="1" applyAlignment="1">
      <alignment vertical="center"/>
    </xf>
    <xf numFmtId="43" fontId="3" fillId="0" borderId="0" xfId="1" applyFont="1" applyAlignment="1">
      <alignment vertical="center"/>
    </xf>
    <xf numFmtId="0" fontId="5" fillId="0" borderId="0" xfId="0" applyFont="1" applyAlignment="1">
      <alignment vertical="center"/>
    </xf>
    <xf numFmtId="4" fontId="5" fillId="0" borderId="0" xfId="0" applyNumberFormat="1" applyFont="1" applyAlignment="1">
      <alignment vertical="center"/>
    </xf>
    <xf numFmtId="0" fontId="5" fillId="0" borderId="0" xfId="0" applyFont="1" applyAlignment="1">
      <alignment horizontal="left" vertical="center"/>
    </xf>
    <xf numFmtId="4" fontId="12" fillId="0" borderId="11" xfId="1" applyNumberFormat="1" applyFont="1" applyFill="1" applyBorder="1" applyAlignment="1">
      <alignment vertical="center" wrapText="1"/>
    </xf>
    <xf numFmtId="43" fontId="12" fillId="0" borderId="7" xfId="0" applyNumberFormat="1" applyFont="1" applyBorder="1" applyAlignment="1">
      <alignment vertical="center" wrapText="1"/>
    </xf>
    <xf numFmtId="0" fontId="12" fillId="10" borderId="7" xfId="0" applyFont="1" applyFill="1" applyBorder="1" applyAlignment="1">
      <alignment vertical="center" wrapText="1"/>
    </xf>
    <xf numFmtId="0" fontId="12" fillId="0" borderId="7" xfId="0" applyFont="1" applyBorder="1" applyAlignment="1">
      <alignment vertical="center" wrapText="1"/>
    </xf>
    <xf numFmtId="0" fontId="13" fillId="0" borderId="7" xfId="0" applyFont="1" applyBorder="1" applyAlignment="1">
      <alignment vertical="center" wrapText="1"/>
    </xf>
    <xf numFmtId="4" fontId="13" fillId="0" borderId="11" xfId="1" applyNumberFormat="1" applyFont="1" applyFill="1" applyBorder="1" applyAlignment="1">
      <alignment vertical="center" wrapText="1"/>
    </xf>
    <xf numFmtId="43" fontId="12" fillId="0" borderId="11" xfId="1" applyFont="1" applyFill="1" applyBorder="1" applyAlignment="1">
      <alignment vertical="center" wrapText="1"/>
    </xf>
    <xf numFmtId="43" fontId="12" fillId="10" borderId="11" xfId="1" applyFont="1" applyFill="1" applyBorder="1" applyAlignment="1">
      <alignment vertical="center" wrapText="1"/>
    </xf>
    <xf numFmtId="0" fontId="12" fillId="0" borderId="11" xfId="0" applyFont="1" applyBorder="1" applyAlignment="1">
      <alignment vertical="center" wrapText="1"/>
    </xf>
    <xf numFmtId="0" fontId="13" fillId="0" borderId="11" xfId="0" applyFont="1" applyBorder="1" applyAlignment="1">
      <alignment vertical="center" wrapText="1"/>
    </xf>
    <xf numFmtId="0" fontId="13" fillId="0" borderId="11" xfId="2" applyFont="1" applyBorder="1" applyAlignment="1">
      <alignment vertical="center" wrapText="1"/>
    </xf>
    <xf numFmtId="0" fontId="12" fillId="0" borderId="11" xfId="2" applyFont="1" applyBorder="1" applyAlignment="1">
      <alignment vertical="center" wrapText="1"/>
    </xf>
    <xf numFmtId="4" fontId="12" fillId="0" borderId="11" xfId="2" applyNumberFormat="1" applyFont="1" applyBorder="1" applyAlignment="1">
      <alignment vertical="center" wrapText="1"/>
    </xf>
    <xf numFmtId="43" fontId="12" fillId="0" borderId="11" xfId="2" applyNumberFormat="1" applyFont="1" applyBorder="1" applyAlignment="1">
      <alignment vertical="center" wrapText="1"/>
    </xf>
    <xf numFmtId="4" fontId="13" fillId="8" borderId="11" xfId="1" applyNumberFormat="1" applyFont="1" applyFill="1" applyBorder="1" applyAlignment="1">
      <alignment vertical="center" wrapText="1"/>
    </xf>
    <xf numFmtId="4" fontId="12" fillId="9" borderId="11" xfId="0" applyNumberFormat="1" applyFont="1" applyFill="1" applyBorder="1" applyAlignment="1">
      <alignment vertical="center" wrapText="1"/>
    </xf>
    <xf numFmtId="43" fontId="12" fillId="9" borderId="11" xfId="1" applyFont="1" applyFill="1" applyBorder="1" applyAlignment="1">
      <alignment vertical="center" wrapText="1"/>
    </xf>
    <xf numFmtId="43" fontId="12" fillId="9" borderId="11" xfId="0" applyNumberFormat="1" applyFont="1" applyFill="1" applyBorder="1" applyAlignment="1">
      <alignment vertical="center" wrapText="1"/>
    </xf>
    <xf numFmtId="43" fontId="13" fillId="9" borderId="11" xfId="0" applyNumberFormat="1" applyFont="1" applyFill="1" applyBorder="1" applyAlignment="1">
      <alignment vertical="center" wrapText="1"/>
    </xf>
    <xf numFmtId="4" fontId="13" fillId="9" borderId="11" xfId="0" applyNumberFormat="1" applyFont="1" applyFill="1" applyBorder="1" applyAlignment="1">
      <alignment vertical="center" wrapText="1"/>
    </xf>
    <xf numFmtId="4" fontId="12" fillId="8" borderId="11" xfId="1" applyNumberFormat="1" applyFont="1" applyFill="1" applyBorder="1" applyAlignment="1">
      <alignment vertical="center" wrapText="1"/>
    </xf>
    <xf numFmtId="43" fontId="12" fillId="8" borderId="11" xfId="1" applyFont="1" applyFill="1" applyBorder="1" applyAlignment="1">
      <alignment vertical="center"/>
    </xf>
    <xf numFmtId="0" fontId="12" fillId="8" borderId="11" xfId="0" applyFont="1" applyFill="1" applyBorder="1" applyAlignment="1">
      <alignment vertical="center"/>
    </xf>
    <xf numFmtId="0" fontId="13" fillId="8" borderId="11" xfId="0" applyFont="1" applyFill="1" applyBorder="1" applyAlignment="1">
      <alignment vertical="center"/>
    </xf>
    <xf numFmtId="4" fontId="13" fillId="8" borderId="11" xfId="0" applyNumberFormat="1" applyFont="1" applyFill="1" applyBorder="1" applyAlignment="1">
      <alignment vertical="center"/>
    </xf>
    <xf numFmtId="43" fontId="13" fillId="11" borderId="11" xfId="1" applyFont="1" applyFill="1" applyBorder="1" applyAlignment="1">
      <alignment horizontal="right" vertical="center" wrapText="1"/>
    </xf>
    <xf numFmtId="4" fontId="12" fillId="0" borderId="11" xfId="0" applyNumberFormat="1" applyFont="1" applyBorder="1" applyAlignment="1">
      <alignment vertical="center" wrapText="1"/>
    </xf>
    <xf numFmtId="0" fontId="13" fillId="8" borderId="11" xfId="2" applyFont="1" applyFill="1" applyBorder="1" applyAlignment="1">
      <alignment vertical="center" wrapText="1"/>
    </xf>
    <xf numFmtId="43" fontId="12" fillId="0" borderId="7" xfId="1" applyFont="1" applyFill="1" applyBorder="1" applyAlignment="1">
      <alignment vertical="center" wrapText="1"/>
    </xf>
    <xf numFmtId="43" fontId="12" fillId="0" borderId="11" xfId="1" applyFont="1" applyFill="1" applyBorder="1" applyAlignment="1">
      <alignment horizontal="left" vertical="top" wrapText="1"/>
    </xf>
    <xf numFmtId="4" fontId="12" fillId="0" borderId="11" xfId="1" applyNumberFormat="1" applyFont="1" applyBorder="1" applyAlignment="1">
      <alignment vertical="center" wrapText="1"/>
    </xf>
    <xf numFmtId="43" fontId="12" fillId="0" borderId="11" xfId="1" applyFont="1" applyBorder="1" applyAlignment="1">
      <alignment vertical="center" wrapText="1"/>
    </xf>
    <xf numFmtId="4" fontId="13" fillId="11" borderId="11" xfId="1" applyNumberFormat="1" applyFont="1" applyFill="1" applyBorder="1" applyAlignment="1">
      <alignment vertical="center" wrapText="1"/>
    </xf>
    <xf numFmtId="0" fontId="12" fillId="11" borderId="11" xfId="2" applyFont="1" applyFill="1" applyBorder="1" applyAlignment="1">
      <alignment vertical="center" wrapText="1"/>
    </xf>
    <xf numFmtId="0" fontId="13" fillId="11" borderId="11" xfId="2" applyFont="1" applyFill="1" applyBorder="1" applyAlignment="1">
      <alignment vertical="center" wrapText="1"/>
    </xf>
    <xf numFmtId="43" fontId="13" fillId="0" borderId="11" xfId="1" applyFont="1" applyFill="1" applyBorder="1" applyAlignment="1">
      <alignment vertical="center" wrapText="1"/>
    </xf>
    <xf numFmtId="43" fontId="13" fillId="11" borderId="11" xfId="1" applyFont="1" applyFill="1" applyBorder="1" applyAlignment="1">
      <alignment vertical="center" wrapText="1"/>
    </xf>
    <xf numFmtId="0" fontId="12" fillId="9" borderId="11" xfId="0" applyFont="1" applyFill="1" applyBorder="1" applyAlignment="1">
      <alignment vertical="center" wrapText="1"/>
    </xf>
    <xf numFmtId="0" fontId="13" fillId="9" borderId="11" xfId="0" applyFont="1" applyFill="1" applyBorder="1" applyAlignment="1">
      <alignment vertical="center" wrapText="1"/>
    </xf>
    <xf numFmtId="4" fontId="12" fillId="0" borderId="11" xfId="1" applyNumberFormat="1" applyFont="1" applyBorder="1" applyAlignment="1">
      <alignment vertical="center"/>
    </xf>
    <xf numFmtId="164" fontId="5" fillId="11" borderId="11" xfId="0" applyNumberFormat="1" applyFont="1" applyFill="1" applyBorder="1" applyAlignment="1">
      <alignment horizontal="right" vertical="top"/>
    </xf>
    <xf numFmtId="164" fontId="5" fillId="11" borderId="11" xfId="0" applyNumberFormat="1" applyFont="1" applyFill="1" applyBorder="1" applyAlignment="1">
      <alignment vertical="center"/>
    </xf>
    <xf numFmtId="164" fontId="5" fillId="11" borderId="11" xfId="0" applyNumberFormat="1" applyFont="1" applyFill="1" applyBorder="1" applyAlignment="1">
      <alignment horizontal="center" vertical="center"/>
    </xf>
    <xf numFmtId="4" fontId="3" fillId="0" borderId="1" xfId="1" applyNumberFormat="1" applyFont="1" applyBorder="1" applyAlignment="1">
      <alignment vertical="center" wrapText="1"/>
    </xf>
    <xf numFmtId="4" fontId="3" fillId="0" borderId="5" xfId="1" applyNumberFormat="1" applyFont="1" applyBorder="1" applyAlignment="1">
      <alignment vertical="center" wrapText="1"/>
    </xf>
    <xf numFmtId="4" fontId="3" fillId="0" borderId="7" xfId="1" applyNumberFormat="1" applyFont="1" applyBorder="1" applyAlignment="1">
      <alignment vertical="center" wrapText="1"/>
    </xf>
    <xf numFmtId="43" fontId="3" fillId="0" borderId="1" xfId="1" applyFont="1" applyBorder="1" applyAlignment="1">
      <alignment vertical="center"/>
    </xf>
    <xf numFmtId="43" fontId="3" fillId="0" borderId="5" xfId="1" applyFont="1" applyBorder="1" applyAlignment="1">
      <alignment vertical="center"/>
    </xf>
    <xf numFmtId="43" fontId="3" fillId="0" borderId="7" xfId="1" applyFont="1" applyBorder="1" applyAlignment="1">
      <alignment vertical="center"/>
    </xf>
    <xf numFmtId="43" fontId="3" fillId="10" borderId="1" xfId="1" applyFont="1" applyFill="1" applyBorder="1" applyAlignment="1">
      <alignment vertical="center" wrapText="1"/>
    </xf>
    <xf numFmtId="43" fontId="3" fillId="10" borderId="5" xfId="1" applyFont="1" applyFill="1" applyBorder="1" applyAlignment="1">
      <alignment vertical="center" wrapText="1"/>
    </xf>
    <xf numFmtId="43" fontId="3" fillId="10" borderId="7" xfId="1" applyFont="1" applyFill="1" applyBorder="1" applyAlignment="1">
      <alignment vertical="center" wrapText="1"/>
    </xf>
    <xf numFmtId="43" fontId="3" fillId="0" borderId="1" xfId="1" applyFont="1" applyBorder="1" applyAlignment="1">
      <alignment vertical="center" wrapText="1"/>
    </xf>
    <xf numFmtId="43" fontId="3" fillId="0" borderId="5" xfId="1" applyFont="1" applyBorder="1" applyAlignment="1">
      <alignment vertical="center" wrapText="1"/>
    </xf>
    <xf numFmtId="43" fontId="3" fillId="0" borderId="7" xfId="1" applyFont="1" applyBorder="1" applyAlignment="1">
      <alignment vertical="center" wrapText="1"/>
    </xf>
    <xf numFmtId="0" fontId="3" fillId="8" borderId="1" xfId="0" applyFont="1" applyFill="1" applyBorder="1" applyAlignment="1">
      <alignment vertical="center"/>
    </xf>
    <xf numFmtId="0" fontId="3" fillId="8" borderId="5" xfId="0" applyFont="1" applyFill="1" applyBorder="1" applyAlignment="1">
      <alignment vertical="center"/>
    </xf>
    <xf numFmtId="0" fontId="3" fillId="8" borderId="7" xfId="0" applyFont="1" applyFill="1" applyBorder="1" applyAlignment="1">
      <alignment vertical="center"/>
    </xf>
    <xf numFmtId="0" fontId="3" fillId="9" borderId="12" xfId="0" applyFont="1" applyFill="1" applyBorder="1" applyAlignment="1">
      <alignment vertical="center" wrapText="1"/>
    </xf>
    <xf numFmtId="0" fontId="3" fillId="9" borderId="14" xfId="0" applyFont="1" applyFill="1" applyBorder="1" applyAlignment="1">
      <alignment vertical="center" wrapText="1"/>
    </xf>
    <xf numFmtId="0" fontId="3" fillId="9" borderId="13" xfId="0" applyFont="1" applyFill="1" applyBorder="1" applyAlignment="1">
      <alignment vertical="center" wrapText="1"/>
    </xf>
    <xf numFmtId="0" fontId="3" fillId="0" borderId="11"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9" borderId="11" xfId="0" applyFont="1" applyFill="1" applyBorder="1" applyAlignment="1">
      <alignment vertical="center" wrapText="1"/>
    </xf>
    <xf numFmtId="4" fontId="12" fillId="0" borderId="11" xfId="1" applyNumberFormat="1" applyFont="1" applyBorder="1" applyAlignment="1">
      <alignment vertical="center" wrapText="1"/>
    </xf>
    <xf numFmtId="43" fontId="12" fillId="0" borderId="11" xfId="1" applyFont="1" applyBorder="1" applyAlignment="1">
      <alignment vertical="center" wrapText="1"/>
    </xf>
    <xf numFmtId="4" fontId="12" fillId="0" borderId="11" xfId="0" applyNumberFormat="1" applyFont="1" applyBorder="1" applyAlignment="1">
      <alignmen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165" fontId="12" fillId="0" borderId="1" xfId="1" applyNumberFormat="1" applyFont="1" applyFill="1" applyBorder="1" applyAlignment="1">
      <alignment horizontal="center" vertical="center" wrapText="1"/>
    </xf>
    <xf numFmtId="4" fontId="12" fillId="0" borderId="7" xfId="1" applyNumberFormat="1" applyFont="1" applyFill="1" applyBorder="1" applyAlignment="1">
      <alignment horizontal="center" vertical="center" wrapText="1"/>
    </xf>
    <xf numFmtId="4" fontId="12" fillId="0" borderId="1" xfId="1" applyNumberFormat="1" applyFont="1" applyFill="1" applyBorder="1" applyAlignment="1">
      <alignment vertical="center" wrapText="1"/>
    </xf>
    <xf numFmtId="4" fontId="12" fillId="0" borderId="5" xfId="1" applyNumberFormat="1" applyFont="1" applyFill="1" applyBorder="1" applyAlignment="1">
      <alignment vertical="center" wrapText="1"/>
    </xf>
    <xf numFmtId="4" fontId="12" fillId="0" borderId="1" xfId="1" applyNumberFormat="1" applyFont="1" applyFill="1" applyBorder="1" applyAlignment="1">
      <alignment horizontal="center" vertical="center" wrapText="1"/>
    </xf>
    <xf numFmtId="43" fontId="12" fillId="0" borderId="1" xfId="1" applyFont="1" applyFill="1" applyBorder="1" applyAlignment="1">
      <alignment horizontal="center" vertical="center" wrapText="1"/>
    </xf>
    <xf numFmtId="43" fontId="12" fillId="0" borderId="7" xfId="1" applyFont="1" applyFill="1" applyBorder="1" applyAlignment="1">
      <alignment horizontal="center" vertical="center" wrapText="1"/>
    </xf>
    <xf numFmtId="43" fontId="12" fillId="0" borderId="1" xfId="1" applyFont="1" applyFill="1" applyBorder="1" applyAlignment="1">
      <alignment vertical="center" wrapText="1"/>
    </xf>
    <xf numFmtId="43" fontId="12" fillId="0" borderId="5" xfId="1" applyFont="1" applyFill="1" applyBorder="1" applyAlignment="1">
      <alignment vertical="center" wrapText="1"/>
    </xf>
    <xf numFmtId="4" fontId="12" fillId="0" borderId="11" xfId="1" applyNumberFormat="1" applyFont="1" applyFill="1" applyBorder="1" applyAlignment="1">
      <alignment vertical="center" wrapText="1"/>
    </xf>
    <xf numFmtId="43" fontId="12" fillId="0" borderId="11" xfId="1" applyFont="1" applyFill="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9" xfId="0" applyFont="1" applyBorder="1" applyAlignment="1">
      <alignment vertical="center" wrapText="1"/>
    </xf>
    <xf numFmtId="164" fontId="5" fillId="8" borderId="11" xfId="0" applyNumberFormat="1" applyFont="1" applyFill="1" applyBorder="1" applyAlignment="1">
      <alignment horizontal="left" vertical="center"/>
    </xf>
    <xf numFmtId="164" fontId="5" fillId="8" borderId="12" xfId="0" applyNumberFormat="1" applyFont="1" applyFill="1" applyBorder="1" applyAlignment="1">
      <alignment horizontal="left" vertical="center"/>
    </xf>
    <xf numFmtId="164" fontId="5" fillId="7" borderId="11" xfId="0" applyNumberFormat="1" applyFont="1" applyFill="1" applyBorder="1" applyAlignment="1">
      <alignment horizontal="left" vertical="center"/>
    </xf>
    <xf numFmtId="164" fontId="5" fillId="0" borderId="11" xfId="0" applyNumberFormat="1" applyFont="1" applyBorder="1" applyAlignment="1">
      <alignment horizontal="left" vertical="center"/>
    </xf>
    <xf numFmtId="0" fontId="5" fillId="7" borderId="10" xfId="0" applyFont="1" applyFill="1" applyBorder="1" applyAlignment="1">
      <alignment horizontal="left" vertical="center"/>
    </xf>
    <xf numFmtId="0" fontId="5" fillId="7" borderId="8" xfId="0" applyFont="1" applyFill="1" applyBorder="1" applyAlignment="1">
      <alignment horizontal="left" vertical="center"/>
    </xf>
    <xf numFmtId="0" fontId="5" fillId="7" borderId="9" xfId="0" applyFont="1" applyFill="1" applyBorder="1" applyAlignment="1">
      <alignment horizontal="left" vertical="center"/>
    </xf>
    <xf numFmtId="0" fontId="5" fillId="4" borderId="5" xfId="0" applyFont="1" applyFill="1" applyBorder="1" applyAlignment="1">
      <alignment vertical="center" wrapText="1"/>
    </xf>
    <xf numFmtId="0" fontId="2" fillId="2" borderId="1" xfId="0" applyFont="1" applyFill="1" applyBorder="1" applyAlignment="1">
      <alignment vertical="center"/>
    </xf>
    <xf numFmtId="0" fontId="2" fillId="2" borderId="7" xfId="0" applyFont="1" applyFill="1" applyBorder="1" applyAlignment="1">
      <alignment vertical="center"/>
    </xf>
    <xf numFmtId="0" fontId="5" fillId="5" borderId="4" xfId="0" applyFont="1" applyFill="1" applyBorder="1" applyAlignment="1">
      <alignment vertical="center"/>
    </xf>
    <xf numFmtId="0" fontId="5" fillId="5" borderId="0" xfId="0" applyFont="1" applyFill="1" applyAlignment="1">
      <alignment vertical="center"/>
    </xf>
    <xf numFmtId="0" fontId="5" fillId="5" borderId="10" xfId="0" applyFont="1" applyFill="1" applyBorder="1" applyAlignment="1">
      <alignment vertical="center"/>
    </xf>
    <xf numFmtId="0" fontId="5" fillId="5" borderId="8" xfId="0" applyFont="1" applyFill="1" applyBorder="1" applyAlignment="1">
      <alignment vertical="center"/>
    </xf>
    <xf numFmtId="0" fontId="5" fillId="6" borderId="10" xfId="0" applyFont="1" applyFill="1" applyBorder="1" applyAlignment="1">
      <alignment horizontal="left" vertical="center"/>
    </xf>
    <xf numFmtId="0" fontId="5" fillId="6" borderId="8" xfId="0" applyFont="1" applyFill="1" applyBorder="1" applyAlignment="1">
      <alignment horizontal="left" vertical="center"/>
    </xf>
    <xf numFmtId="0" fontId="5" fillId="6" borderId="9" xfId="0" applyFont="1" applyFill="1" applyBorder="1" applyAlignment="1">
      <alignment horizontal="left" vertical="center"/>
    </xf>
  </cellXfs>
  <cellStyles count="3">
    <cellStyle name="Comma" xfId="1" builtinId="3"/>
    <cellStyle name="Įprastas 2" xfId="2" xr:uid="{17AAD890-9C48-4B9D-AF45-B7CE75ACDF6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62"/>
  <sheetViews>
    <sheetView tabSelected="1" topLeftCell="A44" zoomScale="70" zoomScaleNormal="70" workbookViewId="0">
      <selection activeCell="F73" sqref="F73"/>
    </sheetView>
  </sheetViews>
  <sheetFormatPr defaultRowHeight="15.75" x14ac:dyDescent="0.25"/>
  <cols>
    <col min="1" max="1" width="10.28515625" style="86" customWidth="1"/>
    <col min="2" max="3" width="35.5703125" style="64" customWidth="1"/>
    <col min="4" max="4" width="8.42578125" style="64" customWidth="1"/>
    <col min="5" max="5" width="25.42578125" style="64" customWidth="1"/>
    <col min="6" max="6" width="9.85546875" style="64" customWidth="1"/>
    <col min="7" max="7" width="8.7109375" style="64"/>
    <col min="8" max="8" width="16.140625" style="87" bestFit="1" customWidth="1"/>
    <col min="9" max="9" width="14.42578125" style="87" bestFit="1" customWidth="1"/>
    <col min="10" max="10" width="12.42578125" style="88" customWidth="1"/>
    <col min="11" max="11" width="22.140625" style="88" customWidth="1"/>
    <col min="12" max="12" width="36.7109375" style="64" customWidth="1"/>
    <col min="13" max="13" width="13.7109375" style="89" customWidth="1"/>
    <col min="14" max="14" width="18.7109375" style="90" customWidth="1"/>
    <col min="15" max="16" width="9.7109375" style="89" customWidth="1"/>
    <col min="17" max="17" width="18.28515625" style="89" customWidth="1"/>
    <col min="18" max="18" width="13.7109375" style="91" customWidth="1"/>
    <col min="19" max="19" width="13.28515625" style="91" customWidth="1"/>
    <col min="20" max="20" width="12.7109375" style="91" customWidth="1"/>
    <col min="21" max="23" width="9.42578125" style="91" bestFit="1" customWidth="1"/>
    <col min="24" max="24" width="11.42578125" style="91" customWidth="1"/>
    <col min="25" max="25" width="9.5703125" style="91" bestFit="1" customWidth="1"/>
    <col min="26" max="26" width="13.7109375" style="91" customWidth="1"/>
    <col min="27" max="27" width="17.28515625" style="91" customWidth="1"/>
    <col min="28" max="31" width="9.42578125" style="91" bestFit="1" customWidth="1"/>
    <col min="32" max="32" width="9.5703125" style="91" customWidth="1"/>
    <col min="33" max="33" width="10.140625" style="91" bestFit="1" customWidth="1"/>
    <col min="34" max="36" width="9.42578125" style="91" bestFit="1" customWidth="1"/>
    <col min="37" max="37" width="11.7109375" style="91" customWidth="1"/>
    <col min="38" max="40" width="9.42578125" style="91" bestFit="1" customWidth="1"/>
    <col min="41" max="41" width="14.5703125" style="91" customWidth="1"/>
    <col min="42" max="42" width="9.5703125" style="91" bestFit="1" customWidth="1"/>
    <col min="43" max="47" width="9.42578125" style="91" bestFit="1" customWidth="1"/>
    <col min="48" max="48" width="8.7109375" style="91" bestFit="1" customWidth="1"/>
    <col min="49" max="50" width="9.42578125" style="91" bestFit="1" customWidth="1"/>
    <col min="51" max="51" width="12.7109375" style="91" customWidth="1"/>
    <col min="52" max="52" width="11.85546875" style="91" bestFit="1" customWidth="1"/>
    <col min="53" max="53" width="11.28515625" style="91" customWidth="1"/>
    <col min="54" max="55" width="11.85546875" style="91" bestFit="1" customWidth="1"/>
  </cols>
  <sheetData>
    <row r="1" spans="1:55" ht="15" x14ac:dyDescent="0.25">
      <c r="A1" s="185"/>
      <c r="B1" s="2" t="s">
        <v>0</v>
      </c>
      <c r="C1" s="2"/>
      <c r="D1" s="2"/>
      <c r="E1" s="2"/>
      <c r="F1" s="2"/>
      <c r="G1" s="2"/>
      <c r="H1" s="3"/>
      <c r="I1" s="3"/>
      <c r="J1" s="4"/>
      <c r="K1" s="5"/>
      <c r="L1" s="187" t="s">
        <v>1</v>
      </c>
      <c r="M1" s="188"/>
      <c r="N1" s="188"/>
      <c r="O1" s="188"/>
      <c r="P1" s="6"/>
      <c r="Q1" s="184"/>
      <c r="R1" s="7" t="s">
        <v>2</v>
      </c>
      <c r="S1" s="8"/>
      <c r="T1" s="8"/>
      <c r="U1" s="8"/>
      <c r="V1" s="8"/>
      <c r="W1" s="8"/>
      <c r="X1" s="8"/>
      <c r="Y1" s="8"/>
      <c r="Z1" s="8"/>
      <c r="AA1" s="8"/>
      <c r="AB1" s="8"/>
      <c r="AC1" s="8"/>
      <c r="AD1" s="9"/>
      <c r="AE1" s="10"/>
      <c r="AF1" s="10"/>
      <c r="AG1" s="10"/>
      <c r="AH1" s="10"/>
      <c r="AI1" s="10"/>
      <c r="AJ1" s="10"/>
      <c r="AK1" s="10"/>
      <c r="AL1" s="10"/>
      <c r="AM1" s="10"/>
      <c r="AN1" s="10"/>
      <c r="AO1" s="10"/>
      <c r="AP1" s="10"/>
      <c r="AQ1" s="10"/>
      <c r="AR1" s="11"/>
      <c r="AS1" s="8"/>
      <c r="AT1" s="8"/>
      <c r="AU1" s="8"/>
      <c r="AV1" s="8"/>
      <c r="AW1" s="8"/>
      <c r="AX1" s="8"/>
      <c r="AY1" s="8"/>
      <c r="AZ1" s="9"/>
      <c r="BA1" s="10"/>
      <c r="BB1" s="10"/>
      <c r="BC1" s="10"/>
    </row>
    <row r="2" spans="1:55" ht="15" x14ac:dyDescent="0.25">
      <c r="A2" s="186"/>
      <c r="B2" s="13"/>
      <c r="C2" s="13"/>
      <c r="D2" s="13"/>
      <c r="E2" s="13"/>
      <c r="F2" s="13"/>
      <c r="G2" s="13"/>
      <c r="H2" s="14"/>
      <c r="I2" s="14"/>
      <c r="J2" s="15"/>
      <c r="K2" s="5"/>
      <c r="L2" s="189" t="s">
        <v>3</v>
      </c>
      <c r="M2" s="190"/>
      <c r="N2" s="190"/>
      <c r="O2" s="190"/>
      <c r="P2" s="6"/>
      <c r="Q2" s="184"/>
      <c r="R2" s="16" t="s">
        <v>4</v>
      </c>
      <c r="S2" s="17"/>
      <c r="T2" s="17"/>
      <c r="U2" s="17"/>
      <c r="V2" s="17"/>
      <c r="W2" s="17"/>
      <c r="X2" s="17"/>
      <c r="Y2" s="17"/>
      <c r="Z2" s="17"/>
      <c r="AA2" s="17"/>
      <c r="AB2" s="17"/>
      <c r="AC2" s="17"/>
      <c r="AD2" s="18"/>
      <c r="AE2" s="181" t="s">
        <v>5</v>
      </c>
      <c r="AF2" s="182"/>
      <c r="AG2" s="182"/>
      <c r="AH2" s="182"/>
      <c r="AI2" s="182"/>
      <c r="AJ2" s="182"/>
      <c r="AK2" s="182"/>
      <c r="AL2" s="182"/>
      <c r="AM2" s="182"/>
      <c r="AN2" s="182"/>
      <c r="AO2" s="182"/>
      <c r="AP2" s="182"/>
      <c r="AQ2" s="182"/>
      <c r="AR2" s="183"/>
      <c r="AS2" s="191" t="s">
        <v>6</v>
      </c>
      <c r="AT2" s="192"/>
      <c r="AU2" s="192"/>
      <c r="AV2" s="192"/>
      <c r="AW2" s="192"/>
      <c r="AX2" s="192"/>
      <c r="AY2" s="192"/>
      <c r="AZ2" s="193"/>
      <c r="BA2" s="181" t="s">
        <v>7</v>
      </c>
      <c r="BB2" s="182"/>
      <c r="BC2" s="183"/>
    </row>
    <row r="3" spans="1:55" ht="168.75" x14ac:dyDescent="0.25">
      <c r="A3" s="19" t="s">
        <v>8</v>
      </c>
      <c r="B3" s="20" t="s">
        <v>9</v>
      </c>
      <c r="C3" s="21" t="s">
        <v>10</v>
      </c>
      <c r="D3" s="22" t="s">
        <v>11</v>
      </c>
      <c r="E3" s="22" t="s">
        <v>12</v>
      </c>
      <c r="F3" s="22" t="s">
        <v>13</v>
      </c>
      <c r="G3" s="22" t="s">
        <v>14</v>
      </c>
      <c r="H3" s="23" t="s">
        <v>15</v>
      </c>
      <c r="I3" s="23" t="s">
        <v>16</v>
      </c>
      <c r="J3" s="24" t="s">
        <v>17</v>
      </c>
      <c r="K3" s="25" t="s">
        <v>279</v>
      </c>
      <c r="L3" s="26" t="s">
        <v>18</v>
      </c>
      <c r="M3" s="27" t="s">
        <v>19</v>
      </c>
      <c r="N3" s="28" t="s">
        <v>20</v>
      </c>
      <c r="O3" s="27" t="s">
        <v>21</v>
      </c>
      <c r="P3" s="27" t="s">
        <v>22</v>
      </c>
      <c r="Q3" s="184" t="s">
        <v>23</v>
      </c>
      <c r="R3" s="29" t="s">
        <v>24</v>
      </c>
      <c r="S3" s="29" t="s">
        <v>25</v>
      </c>
      <c r="T3" s="29" t="s">
        <v>26</v>
      </c>
      <c r="U3" s="29" t="s">
        <v>27</v>
      </c>
      <c r="V3" s="29" t="s">
        <v>28</v>
      </c>
      <c r="W3" s="29" t="s">
        <v>29</v>
      </c>
      <c r="X3" s="29" t="s">
        <v>30</v>
      </c>
      <c r="Y3" s="29" t="s">
        <v>31</v>
      </c>
      <c r="Z3" s="29" t="s">
        <v>32</v>
      </c>
      <c r="AA3" s="29" t="s">
        <v>33</v>
      </c>
      <c r="AB3" s="29" t="s">
        <v>34</v>
      </c>
      <c r="AC3" s="29" t="s">
        <v>35</v>
      </c>
      <c r="AD3" s="29" t="s">
        <v>36</v>
      </c>
      <c r="AE3" s="30" t="s">
        <v>37</v>
      </c>
      <c r="AF3" s="30" t="s">
        <v>38</v>
      </c>
      <c r="AG3" s="30" t="s">
        <v>39</v>
      </c>
      <c r="AH3" s="30" t="s">
        <v>40</v>
      </c>
      <c r="AI3" s="30" t="s">
        <v>41</v>
      </c>
      <c r="AJ3" s="30" t="s">
        <v>42</v>
      </c>
      <c r="AK3" s="30" t="s">
        <v>43</v>
      </c>
      <c r="AL3" s="30" t="s">
        <v>44</v>
      </c>
      <c r="AM3" s="30" t="s">
        <v>45</v>
      </c>
      <c r="AN3" s="30" t="s">
        <v>46</v>
      </c>
      <c r="AO3" s="30" t="s">
        <v>47</v>
      </c>
      <c r="AP3" s="30" t="s">
        <v>48</v>
      </c>
      <c r="AQ3" s="30" t="s">
        <v>49</v>
      </c>
      <c r="AR3" s="30" t="s">
        <v>50</v>
      </c>
      <c r="AS3" s="29" t="s">
        <v>51</v>
      </c>
      <c r="AT3" s="29" t="s">
        <v>52</v>
      </c>
      <c r="AU3" s="29" t="s">
        <v>53</v>
      </c>
      <c r="AV3" s="29" t="s">
        <v>54</v>
      </c>
      <c r="AW3" s="29" t="s">
        <v>55</v>
      </c>
      <c r="AX3" s="29" t="s">
        <v>56</v>
      </c>
      <c r="AY3" s="29" t="s">
        <v>57</v>
      </c>
      <c r="AZ3" s="29" t="s">
        <v>58</v>
      </c>
      <c r="BA3" s="31" t="s">
        <v>59</v>
      </c>
      <c r="BB3" s="31" t="s">
        <v>60</v>
      </c>
      <c r="BC3" s="32" t="s">
        <v>61</v>
      </c>
    </row>
    <row r="4" spans="1:55" ht="105" x14ac:dyDescent="0.25">
      <c r="A4" s="1">
        <v>0</v>
      </c>
      <c r="B4" s="33" t="s">
        <v>62</v>
      </c>
      <c r="C4" s="33" t="s">
        <v>63</v>
      </c>
      <c r="D4" s="33" t="s">
        <v>64</v>
      </c>
      <c r="E4" s="34"/>
      <c r="F4" s="34"/>
      <c r="G4" s="34"/>
      <c r="H4" s="35"/>
      <c r="I4" s="36"/>
      <c r="J4" s="37"/>
      <c r="K4" s="37"/>
      <c r="L4" s="37"/>
      <c r="M4" s="38"/>
      <c r="N4" s="39"/>
      <c r="O4" s="38"/>
      <c r="P4" s="40"/>
      <c r="Q4" s="184"/>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2"/>
    </row>
    <row r="5" spans="1:55" ht="75" x14ac:dyDescent="0.25">
      <c r="A5" s="43">
        <v>0</v>
      </c>
      <c r="B5" s="33" t="s">
        <v>66</v>
      </c>
      <c r="C5" s="33" t="s">
        <v>67</v>
      </c>
      <c r="D5" s="33" t="s">
        <v>68</v>
      </c>
      <c r="E5" s="34"/>
      <c r="F5" s="34"/>
      <c r="G5" s="34"/>
      <c r="H5" s="35"/>
      <c r="I5" s="36"/>
      <c r="J5" s="37"/>
      <c r="K5" s="37"/>
      <c r="L5" s="37"/>
      <c r="M5" s="38"/>
      <c r="N5" s="39"/>
      <c r="O5" s="38"/>
      <c r="P5" s="38"/>
      <c r="Q5" s="44"/>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2"/>
    </row>
    <row r="6" spans="1:55" ht="60" x14ac:dyDescent="0.25">
      <c r="A6" s="43">
        <v>0</v>
      </c>
      <c r="B6" s="33" t="s">
        <v>69</v>
      </c>
      <c r="C6" s="33" t="s">
        <v>70</v>
      </c>
      <c r="D6" s="33" t="s">
        <v>68</v>
      </c>
      <c r="E6" s="34"/>
      <c r="F6" s="34"/>
      <c r="G6" s="34"/>
      <c r="H6" s="35"/>
      <c r="I6" s="36"/>
      <c r="J6" s="37"/>
      <c r="K6" s="37"/>
      <c r="L6" s="37"/>
      <c r="M6" s="38"/>
      <c r="N6" s="39"/>
      <c r="O6" s="38"/>
      <c r="P6" s="38"/>
      <c r="Q6" s="44"/>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2"/>
    </row>
    <row r="7" spans="1:55" ht="28.15" customHeight="1" x14ac:dyDescent="0.25">
      <c r="A7" s="43">
        <v>2</v>
      </c>
      <c r="B7" s="157" t="s">
        <v>71</v>
      </c>
      <c r="C7" s="157"/>
      <c r="D7" s="157"/>
      <c r="E7" s="157"/>
      <c r="F7" s="157"/>
      <c r="G7" s="157"/>
      <c r="H7" s="45">
        <f>SUM(H8:H24)</f>
        <v>24551533.056124426</v>
      </c>
      <c r="I7" s="45">
        <f>SUM(I8:I24)</f>
        <v>6600321.1438755672</v>
      </c>
      <c r="J7" s="46"/>
      <c r="K7" s="45">
        <f>SUM(K8:K24)</f>
        <v>0</v>
      </c>
      <c r="L7" s="45">
        <f>SUM(L8:L24)</f>
        <v>0</v>
      </c>
      <c r="M7" s="47">
        <f>SUM(M8:M24)</f>
        <v>0</v>
      </c>
      <c r="N7" s="47">
        <f>SUM(N8:N24)</f>
        <v>31151854.199999999</v>
      </c>
      <c r="O7" s="48">
        <f>SUM(O9:O19)</f>
        <v>0</v>
      </c>
      <c r="P7" s="48"/>
      <c r="Q7" s="48"/>
      <c r="R7" s="49">
        <f t="shared" ref="R7:AE7" si="0">SUM(R9:R19)</f>
        <v>0</v>
      </c>
      <c r="S7" s="49">
        <f t="shared" si="0"/>
        <v>0</v>
      </c>
      <c r="T7" s="49">
        <f t="shared" si="0"/>
        <v>0</v>
      </c>
      <c r="U7" s="49">
        <f t="shared" si="0"/>
        <v>0</v>
      </c>
      <c r="V7" s="49">
        <f t="shared" si="0"/>
        <v>0</v>
      </c>
      <c r="W7" s="49">
        <f t="shared" si="0"/>
        <v>0</v>
      </c>
      <c r="X7" s="49">
        <f t="shared" si="0"/>
        <v>0</v>
      </c>
      <c r="Y7" s="49">
        <f t="shared" si="0"/>
        <v>0</v>
      </c>
      <c r="Z7" s="49">
        <f t="shared" si="0"/>
        <v>0</v>
      </c>
      <c r="AA7" s="49">
        <f t="shared" si="0"/>
        <v>0</v>
      </c>
      <c r="AB7" s="49">
        <f t="shared" si="0"/>
        <v>0</v>
      </c>
      <c r="AC7" s="49">
        <f t="shared" si="0"/>
        <v>0</v>
      </c>
      <c r="AD7" s="49">
        <f t="shared" si="0"/>
        <v>0</v>
      </c>
      <c r="AE7" s="49">
        <f t="shared" si="0"/>
        <v>0</v>
      </c>
      <c r="AF7" s="49">
        <v>15</v>
      </c>
      <c r="AG7" s="49">
        <f>SUM(AG8:AG24)</f>
        <v>21056</v>
      </c>
      <c r="AH7" s="49">
        <f>SUM(AH8:AH24)</f>
        <v>7919</v>
      </c>
      <c r="AI7" s="49">
        <f>SUM(AI8:AI24)</f>
        <v>1600</v>
      </c>
      <c r="AJ7" s="49">
        <f>SUM(AJ8:AJ24)</f>
        <v>770</v>
      </c>
      <c r="AK7" s="49">
        <f t="shared" ref="AK7:AR7" si="1">SUM(AK9:AK24)</f>
        <v>3</v>
      </c>
      <c r="AL7" s="49">
        <f t="shared" si="1"/>
        <v>0</v>
      </c>
      <c r="AM7" s="49">
        <f t="shared" si="1"/>
        <v>0</v>
      </c>
      <c r="AN7" s="49">
        <f t="shared" si="1"/>
        <v>15</v>
      </c>
      <c r="AO7" s="49">
        <f t="shared" si="1"/>
        <v>2205</v>
      </c>
      <c r="AP7" s="49">
        <f t="shared" si="1"/>
        <v>12639.2</v>
      </c>
      <c r="AQ7" s="49">
        <f t="shared" si="1"/>
        <v>0</v>
      </c>
      <c r="AR7" s="49">
        <f t="shared" si="1"/>
        <v>0</v>
      </c>
      <c r="AS7" s="49"/>
      <c r="AT7" s="49"/>
      <c r="AU7" s="49"/>
      <c r="AV7" s="49"/>
      <c r="AW7" s="49"/>
      <c r="AX7" s="49"/>
      <c r="AY7" s="49"/>
      <c r="AZ7" s="49"/>
      <c r="BA7" s="49"/>
      <c r="BB7" s="49"/>
      <c r="BC7" s="50"/>
    </row>
    <row r="8" spans="1:55" ht="62.45" customHeight="1" x14ac:dyDescent="0.25">
      <c r="A8" s="43">
        <v>2</v>
      </c>
      <c r="B8" s="51" t="s">
        <v>72</v>
      </c>
      <c r="C8" s="51" t="s">
        <v>73</v>
      </c>
      <c r="D8" s="51" t="s">
        <v>74</v>
      </c>
      <c r="E8" s="51" t="s">
        <v>75</v>
      </c>
      <c r="F8" s="51" t="s">
        <v>76</v>
      </c>
      <c r="G8" s="51" t="s">
        <v>77</v>
      </c>
      <c r="H8" s="92">
        <f>N8*J8</f>
        <v>1350000</v>
      </c>
      <c r="I8" s="92">
        <f>N8*0.1</f>
        <v>150000</v>
      </c>
      <c r="J8" s="93">
        <v>0.9</v>
      </c>
      <c r="K8" s="94" t="s">
        <v>280</v>
      </c>
      <c r="L8" s="95" t="s">
        <v>78</v>
      </c>
      <c r="M8" s="96" t="s">
        <v>79</v>
      </c>
      <c r="N8" s="97">
        <v>1500000</v>
      </c>
      <c r="O8" s="96" t="s">
        <v>80</v>
      </c>
      <c r="P8" s="96" t="s">
        <v>81</v>
      </c>
      <c r="Q8" s="54" t="s">
        <v>82</v>
      </c>
      <c r="R8" s="55"/>
      <c r="S8" s="56"/>
      <c r="T8" s="56"/>
      <c r="U8" s="56"/>
      <c r="V8" s="56"/>
      <c r="W8" s="56"/>
      <c r="X8" s="56"/>
      <c r="Y8" s="56"/>
      <c r="Z8" s="56"/>
      <c r="AA8" s="56"/>
      <c r="AB8" s="56"/>
      <c r="AC8" s="56"/>
      <c r="AD8" s="56"/>
      <c r="AE8" s="57"/>
      <c r="AF8" s="57"/>
      <c r="AG8" s="58">
        <v>1500</v>
      </c>
      <c r="AH8" s="58">
        <v>500</v>
      </c>
      <c r="AI8" s="57"/>
      <c r="AJ8" s="58">
        <v>500</v>
      </c>
      <c r="AK8" s="57"/>
      <c r="AL8" s="57"/>
      <c r="AM8" s="57"/>
      <c r="AN8" s="57"/>
      <c r="AO8" s="57"/>
      <c r="AP8" s="58">
        <f>1500*0.4</f>
        <v>600</v>
      </c>
      <c r="AQ8" s="57"/>
      <c r="AR8" s="57"/>
      <c r="AS8" s="59"/>
      <c r="AT8" s="59"/>
      <c r="AU8" s="59"/>
      <c r="AV8" s="59"/>
      <c r="AW8" s="59"/>
      <c r="AX8" s="59"/>
      <c r="AY8" s="59"/>
      <c r="AZ8" s="59"/>
      <c r="BA8" s="59"/>
      <c r="BB8" s="59"/>
      <c r="BC8" s="60"/>
    </row>
    <row r="9" spans="1:55" ht="54.6" customHeight="1" x14ac:dyDescent="0.25">
      <c r="A9" s="43">
        <v>2</v>
      </c>
      <c r="B9" s="33" t="s">
        <v>83</v>
      </c>
      <c r="C9" s="33" t="s">
        <v>84</v>
      </c>
      <c r="D9" s="33" t="s">
        <v>74</v>
      </c>
      <c r="E9" s="33" t="s">
        <v>85</v>
      </c>
      <c r="F9" s="33" t="s">
        <v>76</v>
      </c>
      <c r="G9" s="33" t="s">
        <v>77</v>
      </c>
      <c r="H9" s="92">
        <f>N9*0.75</f>
        <v>2538750.8850000002</v>
      </c>
      <c r="I9" s="92">
        <f>N9*0.25</f>
        <v>846250.29500000004</v>
      </c>
      <c r="J9" s="98">
        <f>H9/(H9+I9)</f>
        <v>0.75</v>
      </c>
      <c r="K9" s="99" t="s">
        <v>281</v>
      </c>
      <c r="L9" s="100" t="s">
        <v>86</v>
      </c>
      <c r="M9" s="101" t="s">
        <v>87</v>
      </c>
      <c r="N9" s="97">
        <v>3385001.18</v>
      </c>
      <c r="O9" s="102" t="s">
        <v>283</v>
      </c>
      <c r="P9" s="102" t="s">
        <v>88</v>
      </c>
      <c r="Q9" s="54" t="s">
        <v>89</v>
      </c>
      <c r="R9" s="55"/>
      <c r="S9" s="56"/>
      <c r="T9" s="56"/>
      <c r="U9" s="56"/>
      <c r="V9" s="56"/>
      <c r="W9" s="56"/>
      <c r="X9" s="56"/>
      <c r="Y9" s="56"/>
      <c r="Z9" s="56"/>
      <c r="AA9" s="56"/>
      <c r="AB9" s="56"/>
      <c r="AC9" s="56"/>
      <c r="AD9" s="56"/>
      <c r="AE9" s="57"/>
      <c r="AF9" s="58">
        <v>15</v>
      </c>
      <c r="AG9" s="57"/>
      <c r="AH9" s="57"/>
      <c r="AI9" s="57"/>
      <c r="AJ9" s="57"/>
      <c r="AK9" s="57"/>
      <c r="AL9" s="57"/>
      <c r="AM9" s="57"/>
      <c r="AN9" s="57"/>
      <c r="AO9" s="57"/>
      <c r="AP9" s="57"/>
      <c r="AQ9" s="57"/>
      <c r="AR9" s="57"/>
      <c r="AS9" s="56"/>
      <c r="AT9" s="56"/>
      <c r="AU9" s="56"/>
      <c r="AV9" s="56"/>
      <c r="AW9" s="56"/>
      <c r="AX9" s="56"/>
      <c r="AY9" s="56"/>
      <c r="AZ9" s="56"/>
      <c r="BA9" s="56"/>
      <c r="BB9" s="56"/>
      <c r="BC9" s="61"/>
    </row>
    <row r="10" spans="1:55" ht="90" x14ac:dyDescent="0.25">
      <c r="A10" s="43">
        <v>2</v>
      </c>
      <c r="B10" s="154" t="s">
        <v>90</v>
      </c>
      <c r="C10" s="62" t="s">
        <v>91</v>
      </c>
      <c r="D10" s="62" t="s">
        <v>74</v>
      </c>
      <c r="E10" s="62" t="s">
        <v>92</v>
      </c>
      <c r="F10" s="33" t="s">
        <v>93</v>
      </c>
      <c r="G10" s="33" t="s">
        <v>77</v>
      </c>
      <c r="H10" s="92">
        <v>250377</v>
      </c>
      <c r="I10" s="92">
        <v>83459</v>
      </c>
      <c r="J10" s="98">
        <f>H10/(H10+I10)</f>
        <v>0.75</v>
      </c>
      <c r="K10" s="99" t="s">
        <v>281</v>
      </c>
      <c r="L10" s="103" t="s">
        <v>94</v>
      </c>
      <c r="M10" s="101" t="s">
        <v>95</v>
      </c>
      <c r="N10" s="97">
        <v>333836</v>
      </c>
      <c r="O10" s="102" t="s">
        <v>295</v>
      </c>
      <c r="P10" s="102" t="s">
        <v>96</v>
      </c>
      <c r="Q10" s="54" t="s">
        <v>89</v>
      </c>
      <c r="R10" s="56"/>
      <c r="S10" s="56"/>
      <c r="T10" s="56"/>
      <c r="U10" s="56"/>
      <c r="V10" s="56"/>
      <c r="W10" s="56"/>
      <c r="X10" s="56"/>
      <c r="Y10" s="56"/>
      <c r="Z10" s="56"/>
      <c r="AA10" s="56"/>
      <c r="AB10" s="56"/>
      <c r="AC10" s="56"/>
      <c r="AD10" s="56"/>
      <c r="AE10" s="57"/>
      <c r="AF10" s="57"/>
      <c r="AG10" s="57"/>
      <c r="AH10" s="57"/>
      <c r="AI10" s="57"/>
      <c r="AJ10" s="57"/>
      <c r="AK10" s="57"/>
      <c r="AL10" s="57"/>
      <c r="AM10" s="57"/>
      <c r="AN10" s="57"/>
      <c r="AO10" s="57"/>
      <c r="AP10" s="57"/>
      <c r="AQ10" s="57"/>
      <c r="AR10" s="57"/>
      <c r="AS10" s="56"/>
      <c r="AT10" s="56"/>
      <c r="AU10" s="56"/>
      <c r="AV10" s="56"/>
      <c r="AW10" s="56"/>
      <c r="AX10" s="56"/>
      <c r="AY10" s="56"/>
      <c r="AZ10" s="56"/>
      <c r="BA10" s="56"/>
      <c r="BB10" s="56"/>
      <c r="BC10" s="61"/>
    </row>
    <row r="11" spans="1:55" ht="90" x14ac:dyDescent="0.25">
      <c r="A11" s="43">
        <v>2</v>
      </c>
      <c r="B11" s="156"/>
      <c r="C11" s="51"/>
      <c r="D11" s="63" t="s">
        <v>74</v>
      </c>
      <c r="E11" s="52" t="s">
        <v>97</v>
      </c>
      <c r="F11" s="63" t="s">
        <v>93</v>
      </c>
      <c r="G11" s="63" t="s">
        <v>77</v>
      </c>
      <c r="H11" s="104">
        <f>400000*J11</f>
        <v>360000</v>
      </c>
      <c r="I11" s="92">
        <f>400000*0.1</f>
        <v>40000</v>
      </c>
      <c r="J11" s="105">
        <v>0.9</v>
      </c>
      <c r="K11" s="94" t="s">
        <v>280</v>
      </c>
      <c r="L11" s="103" t="s">
        <v>98</v>
      </c>
      <c r="M11" s="102" t="s">
        <v>95</v>
      </c>
      <c r="N11" s="97">
        <v>400000</v>
      </c>
      <c r="O11" s="97" t="s">
        <v>80</v>
      </c>
      <c r="P11" s="97" t="s">
        <v>99</v>
      </c>
      <c r="Q11" s="54" t="s">
        <v>89</v>
      </c>
      <c r="R11" s="56"/>
      <c r="S11" s="56"/>
      <c r="T11" s="56"/>
      <c r="U11" s="56"/>
      <c r="V11" s="56"/>
      <c r="W11" s="56"/>
      <c r="X11" s="56"/>
      <c r="Y11" s="56"/>
      <c r="Z11" s="56"/>
      <c r="AA11" s="56"/>
      <c r="AB11" s="56"/>
      <c r="AC11" s="56"/>
      <c r="AD11" s="56"/>
      <c r="AE11" s="57"/>
      <c r="AF11" s="57"/>
      <c r="AG11" s="57"/>
      <c r="AH11" s="57"/>
      <c r="AI11" s="57"/>
      <c r="AJ11" s="57"/>
      <c r="AK11" s="57"/>
      <c r="AL11" s="57"/>
      <c r="AM11" s="57"/>
      <c r="AN11" s="57"/>
      <c r="AO11" s="57"/>
      <c r="AP11" s="57"/>
      <c r="AQ11" s="57"/>
      <c r="AR11" s="57"/>
      <c r="AS11" s="56"/>
      <c r="AT11" s="56"/>
      <c r="AU11" s="56"/>
      <c r="AV11" s="56"/>
      <c r="AW11" s="56"/>
      <c r="AX11" s="56"/>
      <c r="AY11" s="56"/>
      <c r="AZ11" s="56"/>
      <c r="BA11" s="56"/>
      <c r="BB11" s="56"/>
      <c r="BC11" s="61"/>
    </row>
    <row r="12" spans="1:55" ht="105" x14ac:dyDescent="0.25">
      <c r="A12" s="43">
        <v>2</v>
      </c>
      <c r="B12" s="154" t="s">
        <v>100</v>
      </c>
      <c r="C12" s="161" t="s">
        <v>101</v>
      </c>
      <c r="D12" s="33" t="s">
        <v>74</v>
      </c>
      <c r="E12" s="64" t="s">
        <v>102</v>
      </c>
      <c r="F12" s="33" t="s">
        <v>76</v>
      </c>
      <c r="G12" s="33" t="s">
        <v>77</v>
      </c>
      <c r="H12" s="92">
        <v>372450.34500000003</v>
      </c>
      <c r="I12" s="92">
        <v>124150.11499999999</v>
      </c>
      <c r="J12" s="98">
        <v>0.75</v>
      </c>
      <c r="K12" s="99" t="s">
        <v>281</v>
      </c>
      <c r="L12" s="103" t="s">
        <v>103</v>
      </c>
      <c r="M12" s="102" t="s">
        <v>104</v>
      </c>
      <c r="N12" s="97">
        <v>496600.46</v>
      </c>
      <c r="O12" s="102" t="s">
        <v>284</v>
      </c>
      <c r="P12" s="102" t="s">
        <v>105</v>
      </c>
      <c r="Q12" s="54" t="s">
        <v>82</v>
      </c>
      <c r="R12" s="56"/>
      <c r="S12" s="56"/>
      <c r="T12" s="56"/>
      <c r="U12" s="56"/>
      <c r="V12" s="56"/>
      <c r="W12" s="56"/>
      <c r="X12" s="56"/>
      <c r="Y12" s="56"/>
      <c r="Z12" s="56"/>
      <c r="AA12" s="56"/>
      <c r="AB12" s="56"/>
      <c r="AC12" s="56"/>
      <c r="AD12" s="56"/>
      <c r="AE12" s="57"/>
      <c r="AF12" s="57"/>
      <c r="AG12" s="57"/>
      <c r="AH12" s="57"/>
      <c r="AI12" s="58">
        <v>15</v>
      </c>
      <c r="AJ12" s="57"/>
      <c r="AK12" s="57"/>
      <c r="AL12" s="57"/>
      <c r="AM12" s="57"/>
      <c r="AN12" s="57"/>
      <c r="AO12" s="57"/>
      <c r="AP12" s="57"/>
      <c r="AQ12" s="57"/>
      <c r="AR12" s="57"/>
      <c r="AS12" s="56"/>
      <c r="AT12" s="56"/>
      <c r="AU12" s="56"/>
      <c r="AV12" s="56"/>
      <c r="AW12" s="56"/>
      <c r="AX12" s="56"/>
      <c r="AY12" s="56"/>
      <c r="AZ12" s="56"/>
      <c r="BA12" s="56"/>
      <c r="BB12" s="56"/>
      <c r="BC12" s="61"/>
    </row>
    <row r="13" spans="1:55" ht="60" x14ac:dyDescent="0.25">
      <c r="A13" s="43">
        <v>2</v>
      </c>
      <c r="B13" s="156"/>
      <c r="C13" s="162"/>
      <c r="D13" s="63" t="s">
        <v>74</v>
      </c>
      <c r="E13" s="52" t="s">
        <v>102</v>
      </c>
      <c r="F13" s="63" t="s">
        <v>76</v>
      </c>
      <c r="G13" s="63" t="s">
        <v>77</v>
      </c>
      <c r="H13" s="104">
        <v>79853.070000000007</v>
      </c>
      <c r="I13" s="92">
        <v>320147.26</v>
      </c>
      <c r="J13" s="105">
        <v>0.2</v>
      </c>
      <c r="K13" s="99" t="s">
        <v>281</v>
      </c>
      <c r="L13" s="103" t="s">
        <v>106</v>
      </c>
      <c r="M13" s="102" t="s">
        <v>104</v>
      </c>
      <c r="N13" s="97">
        <v>400000.33</v>
      </c>
      <c r="O13" s="97" t="s">
        <v>285</v>
      </c>
      <c r="P13" s="102" t="s">
        <v>105</v>
      </c>
      <c r="Q13" s="54" t="s">
        <v>82</v>
      </c>
      <c r="R13" s="56"/>
      <c r="S13" s="56"/>
      <c r="T13" s="56"/>
      <c r="U13" s="56"/>
      <c r="V13" s="56"/>
      <c r="W13" s="56"/>
      <c r="X13" s="56"/>
      <c r="Y13" s="56"/>
      <c r="Z13" s="56"/>
      <c r="AA13" s="56"/>
      <c r="AB13" s="56"/>
      <c r="AC13" s="56"/>
      <c r="AD13" s="56"/>
      <c r="AE13" s="57"/>
      <c r="AF13" s="57"/>
      <c r="AG13" s="57"/>
      <c r="AH13" s="57"/>
      <c r="AI13" s="58">
        <v>150</v>
      </c>
      <c r="AJ13" s="57"/>
      <c r="AK13" s="57"/>
      <c r="AL13" s="57"/>
      <c r="AM13" s="57"/>
      <c r="AN13" s="57"/>
      <c r="AO13" s="57"/>
      <c r="AP13" s="57"/>
      <c r="AQ13" s="57"/>
      <c r="AR13" s="57"/>
      <c r="AS13" s="56"/>
      <c r="AT13" s="56"/>
      <c r="AU13" s="56"/>
      <c r="AV13" s="56"/>
      <c r="AW13" s="56"/>
      <c r="AX13" s="56"/>
      <c r="AY13" s="56"/>
      <c r="AZ13" s="56"/>
      <c r="BA13" s="56"/>
      <c r="BB13" s="56"/>
      <c r="BC13" s="61"/>
    </row>
    <row r="14" spans="1:55" ht="165" x14ac:dyDescent="0.25">
      <c r="A14" s="43">
        <v>2</v>
      </c>
      <c r="B14" s="154" t="s">
        <v>107</v>
      </c>
      <c r="C14" s="161" t="s">
        <v>108</v>
      </c>
      <c r="D14" s="62" t="s">
        <v>93</v>
      </c>
      <c r="E14" s="33" t="s">
        <v>109</v>
      </c>
      <c r="F14" s="33" t="s">
        <v>76</v>
      </c>
      <c r="G14" s="33" t="s">
        <v>77</v>
      </c>
      <c r="H14" s="92">
        <v>209250</v>
      </c>
      <c r="I14" s="92">
        <v>490750</v>
      </c>
      <c r="J14" s="98">
        <f>H14/(H14+I14)</f>
        <v>0.29892857142857143</v>
      </c>
      <c r="K14" s="99" t="s">
        <v>281</v>
      </c>
      <c r="L14" s="103" t="s">
        <v>110</v>
      </c>
      <c r="M14" s="101" t="s">
        <v>79</v>
      </c>
      <c r="N14" s="97">
        <v>700000</v>
      </c>
      <c r="O14" s="102" t="s">
        <v>300</v>
      </c>
      <c r="P14" s="102" t="s">
        <v>111</v>
      </c>
      <c r="Q14" s="54" t="s">
        <v>112</v>
      </c>
      <c r="R14" s="177"/>
      <c r="S14" s="177"/>
      <c r="T14" s="177"/>
      <c r="U14" s="177"/>
      <c r="V14" s="177"/>
      <c r="W14" s="177"/>
      <c r="X14" s="177"/>
      <c r="Y14" s="177"/>
      <c r="Z14" s="177"/>
      <c r="AA14" s="177"/>
      <c r="AB14" s="177"/>
      <c r="AC14" s="177"/>
      <c r="AD14" s="177"/>
      <c r="AE14" s="179"/>
      <c r="AF14" s="179"/>
      <c r="AG14" s="179"/>
      <c r="AH14" s="179"/>
      <c r="AI14" s="179"/>
      <c r="AJ14" s="179"/>
      <c r="AK14" s="180">
        <v>3</v>
      </c>
      <c r="AL14" s="179"/>
      <c r="AM14" s="179"/>
      <c r="AN14" s="179"/>
      <c r="AO14" s="179"/>
      <c r="AP14" s="179"/>
      <c r="AQ14" s="179"/>
      <c r="AR14" s="179"/>
      <c r="AS14" s="177"/>
      <c r="AT14" s="177"/>
      <c r="AU14" s="177"/>
      <c r="AV14" s="177"/>
      <c r="AW14" s="177"/>
      <c r="AX14" s="177"/>
      <c r="AY14" s="177"/>
      <c r="AZ14" s="177"/>
      <c r="BA14" s="177"/>
      <c r="BB14" s="177"/>
      <c r="BC14" s="178"/>
    </row>
    <row r="15" spans="1:55" ht="165" x14ac:dyDescent="0.25">
      <c r="A15" s="43">
        <v>2</v>
      </c>
      <c r="B15" s="156"/>
      <c r="C15" s="162"/>
      <c r="D15" s="62" t="s">
        <v>93</v>
      </c>
      <c r="E15" s="33" t="s">
        <v>109</v>
      </c>
      <c r="F15" s="33" t="s">
        <v>76</v>
      </c>
      <c r="G15" s="33" t="s">
        <v>77</v>
      </c>
      <c r="H15" s="92">
        <f>N15*J15</f>
        <v>675000</v>
      </c>
      <c r="I15" s="92">
        <f>N15*0.1</f>
        <v>75000</v>
      </c>
      <c r="J15" s="98">
        <v>0.9</v>
      </c>
      <c r="K15" s="94" t="s">
        <v>280</v>
      </c>
      <c r="L15" s="103" t="s">
        <v>110</v>
      </c>
      <c r="M15" s="101" t="s">
        <v>79</v>
      </c>
      <c r="N15" s="97">
        <v>750000</v>
      </c>
      <c r="O15" s="102" t="s">
        <v>113</v>
      </c>
      <c r="P15" s="102" t="s">
        <v>111</v>
      </c>
      <c r="Q15" s="54" t="s">
        <v>114</v>
      </c>
      <c r="R15" s="177"/>
      <c r="S15" s="177"/>
      <c r="T15" s="177"/>
      <c r="U15" s="177"/>
      <c r="V15" s="177"/>
      <c r="W15" s="177"/>
      <c r="X15" s="177"/>
      <c r="Y15" s="177"/>
      <c r="Z15" s="177"/>
      <c r="AA15" s="177"/>
      <c r="AB15" s="177"/>
      <c r="AC15" s="177"/>
      <c r="AD15" s="177"/>
      <c r="AE15" s="179"/>
      <c r="AF15" s="179"/>
      <c r="AG15" s="179"/>
      <c r="AH15" s="179"/>
      <c r="AI15" s="179"/>
      <c r="AJ15" s="179"/>
      <c r="AK15" s="180"/>
      <c r="AL15" s="179"/>
      <c r="AM15" s="179"/>
      <c r="AN15" s="179"/>
      <c r="AO15" s="179"/>
      <c r="AP15" s="179"/>
      <c r="AQ15" s="179"/>
      <c r="AR15" s="179"/>
      <c r="AS15" s="177"/>
      <c r="AT15" s="177"/>
      <c r="AU15" s="177"/>
      <c r="AV15" s="177"/>
      <c r="AW15" s="177"/>
      <c r="AX15" s="177"/>
      <c r="AY15" s="177"/>
      <c r="AZ15" s="177"/>
      <c r="BA15" s="177"/>
      <c r="BB15" s="177"/>
      <c r="BC15" s="178"/>
    </row>
    <row r="16" spans="1:55" ht="90" x14ac:dyDescent="0.25">
      <c r="A16" s="43">
        <v>2</v>
      </c>
      <c r="B16" s="33" t="s">
        <v>115</v>
      </c>
      <c r="C16" s="62" t="s">
        <v>116</v>
      </c>
      <c r="D16" s="62" t="s">
        <v>74</v>
      </c>
      <c r="E16" s="33" t="s">
        <v>97</v>
      </c>
      <c r="F16" s="63" t="s">
        <v>93</v>
      </c>
      <c r="G16" s="63" t="s">
        <v>77</v>
      </c>
      <c r="H16" s="104">
        <v>0</v>
      </c>
      <c r="I16" s="92">
        <v>0</v>
      </c>
      <c r="J16" s="105">
        <v>0.75</v>
      </c>
      <c r="K16" s="99" t="s">
        <v>281</v>
      </c>
      <c r="L16" s="103" t="s">
        <v>117</v>
      </c>
      <c r="M16" s="102" t="s">
        <v>95</v>
      </c>
      <c r="N16" s="97">
        <v>0</v>
      </c>
      <c r="O16" s="106"/>
      <c r="P16" s="106"/>
      <c r="Q16" s="54" t="s">
        <v>112</v>
      </c>
      <c r="R16" s="56"/>
      <c r="S16" s="56"/>
      <c r="T16" s="56"/>
      <c r="U16" s="56"/>
      <c r="V16" s="56"/>
      <c r="W16" s="56"/>
      <c r="X16" s="56"/>
      <c r="Y16" s="56"/>
      <c r="Z16" s="56"/>
      <c r="AA16" s="56"/>
      <c r="AB16" s="56"/>
      <c r="AC16" s="56"/>
      <c r="AD16" s="56"/>
      <c r="AE16" s="57"/>
      <c r="AF16" s="57"/>
      <c r="AG16" s="57"/>
      <c r="AH16" s="57"/>
      <c r="AI16" s="57"/>
      <c r="AJ16" s="57"/>
      <c r="AK16" s="57"/>
      <c r="AL16" s="57"/>
      <c r="AM16" s="57"/>
      <c r="AN16" s="57"/>
      <c r="AO16" s="57"/>
      <c r="AP16" s="57"/>
      <c r="AQ16" s="57"/>
      <c r="AR16" s="57"/>
      <c r="AS16" s="56"/>
      <c r="AT16" s="56"/>
      <c r="AU16" s="56"/>
      <c r="AV16" s="56"/>
      <c r="AW16" s="56"/>
      <c r="AX16" s="56"/>
      <c r="AY16" s="56"/>
      <c r="AZ16" s="56"/>
      <c r="BA16" s="56"/>
      <c r="BB16" s="56"/>
      <c r="BC16" s="56"/>
    </row>
    <row r="17" spans="1:55" ht="56.25" x14ac:dyDescent="0.25">
      <c r="A17" s="43">
        <v>2</v>
      </c>
      <c r="B17" s="33" t="s">
        <v>118</v>
      </c>
      <c r="C17" s="33" t="s">
        <v>119</v>
      </c>
      <c r="D17" s="33" t="s">
        <v>74</v>
      </c>
      <c r="E17" s="33" t="s">
        <v>102</v>
      </c>
      <c r="F17" s="33" t="s">
        <v>76</v>
      </c>
      <c r="G17" s="33" t="s">
        <v>77</v>
      </c>
      <c r="H17" s="92">
        <v>2514399.4274999998</v>
      </c>
      <c r="I17" s="92">
        <v>838133.14250000007</v>
      </c>
      <c r="J17" s="98">
        <f>H17/(H17+I17)</f>
        <v>0.75</v>
      </c>
      <c r="K17" s="99" t="s">
        <v>281</v>
      </c>
      <c r="L17" s="103" t="s">
        <v>120</v>
      </c>
      <c r="M17" s="102" t="s">
        <v>121</v>
      </c>
      <c r="N17" s="97">
        <v>3352532.57</v>
      </c>
      <c r="O17" s="102" t="s">
        <v>310</v>
      </c>
      <c r="P17" s="102" t="s">
        <v>122</v>
      </c>
      <c r="Q17" s="54" t="s">
        <v>123</v>
      </c>
      <c r="R17" s="56"/>
      <c r="S17" s="56"/>
      <c r="T17" s="56"/>
      <c r="U17" s="56"/>
      <c r="V17" s="56"/>
      <c r="W17" s="56"/>
      <c r="X17" s="56"/>
      <c r="Y17" s="56"/>
      <c r="Z17" s="56"/>
      <c r="AA17" s="56"/>
      <c r="AB17" s="56"/>
      <c r="AC17" s="56"/>
      <c r="AD17" s="56"/>
      <c r="AE17" s="57"/>
      <c r="AF17" s="57"/>
      <c r="AG17" s="65">
        <f>580/5*3.5</f>
        <v>406</v>
      </c>
      <c r="AH17" s="57"/>
      <c r="AI17" s="57"/>
      <c r="AJ17" s="57"/>
      <c r="AK17" s="57"/>
      <c r="AL17" s="57"/>
      <c r="AM17" s="57"/>
      <c r="AN17" s="57"/>
      <c r="AO17" s="57"/>
      <c r="AP17" s="132">
        <f>406/5*3.5</f>
        <v>284.2</v>
      </c>
      <c r="AQ17" s="57"/>
      <c r="AR17" s="57"/>
      <c r="AS17" s="56"/>
      <c r="AT17" s="56"/>
      <c r="AU17" s="56"/>
      <c r="AV17" s="56"/>
      <c r="AW17" s="56"/>
      <c r="AX17" s="56"/>
      <c r="AY17" s="56"/>
      <c r="AZ17" s="56"/>
      <c r="BA17" s="56"/>
      <c r="BB17" s="56"/>
      <c r="BC17" s="61"/>
    </row>
    <row r="18" spans="1:55" ht="60" x14ac:dyDescent="0.25">
      <c r="A18" s="43">
        <v>2</v>
      </c>
      <c r="B18" s="63" t="s">
        <v>124</v>
      </c>
      <c r="C18" s="63" t="s">
        <v>125</v>
      </c>
      <c r="D18" s="63" t="s">
        <v>74</v>
      </c>
      <c r="E18" s="63" t="s">
        <v>126</v>
      </c>
      <c r="F18" s="63" t="s">
        <v>76</v>
      </c>
      <c r="G18" s="63" t="s">
        <v>77</v>
      </c>
      <c r="H18" s="92">
        <f>J18*N18</f>
        <v>4950000</v>
      </c>
      <c r="I18" s="92">
        <f>N18*0.1</f>
        <v>550000</v>
      </c>
      <c r="J18" s="105">
        <v>0.9</v>
      </c>
      <c r="K18" s="94" t="s">
        <v>280</v>
      </c>
      <c r="L18" s="103" t="s">
        <v>127</v>
      </c>
      <c r="M18" s="102" t="s">
        <v>79</v>
      </c>
      <c r="N18" s="97">
        <v>5500000</v>
      </c>
      <c r="O18" s="102" t="s">
        <v>286</v>
      </c>
      <c r="P18" s="102" t="s">
        <v>128</v>
      </c>
      <c r="Q18" s="54" t="s">
        <v>129</v>
      </c>
      <c r="R18" s="56"/>
      <c r="S18" s="56"/>
      <c r="T18" s="56"/>
      <c r="U18" s="56"/>
      <c r="V18" s="56"/>
      <c r="W18" s="56"/>
      <c r="X18" s="56"/>
      <c r="Y18" s="56"/>
      <c r="Z18" s="56"/>
      <c r="AA18" s="56"/>
      <c r="AB18" s="56"/>
      <c r="AC18" s="56"/>
      <c r="AD18" s="56"/>
      <c r="AE18" s="57"/>
      <c r="AF18" s="57"/>
      <c r="AG18" s="58">
        <v>6300</v>
      </c>
      <c r="AH18" s="58">
        <v>6300</v>
      </c>
      <c r="AI18" s="57"/>
      <c r="AJ18" s="57"/>
      <c r="AK18" s="57"/>
      <c r="AL18" s="57"/>
      <c r="AM18" s="57"/>
      <c r="AN18" s="57"/>
      <c r="AO18" s="58">
        <f>AP18/2</f>
        <v>2205</v>
      </c>
      <c r="AP18" s="58">
        <f>AH18*0.7</f>
        <v>4410</v>
      </c>
      <c r="AQ18" s="57"/>
      <c r="AR18" s="57"/>
      <c r="AS18" s="56"/>
      <c r="AT18" s="56"/>
      <c r="AU18" s="56"/>
      <c r="AV18" s="56"/>
      <c r="AW18" s="56"/>
      <c r="AX18" s="56"/>
      <c r="AY18" s="56"/>
      <c r="AZ18" s="56"/>
      <c r="BA18" s="56"/>
      <c r="BB18" s="56"/>
      <c r="BC18" s="61"/>
    </row>
    <row r="19" spans="1:55" ht="90" x14ac:dyDescent="0.25">
      <c r="A19" s="43">
        <v>2</v>
      </c>
      <c r="B19" s="33" t="s">
        <v>130</v>
      </c>
      <c r="C19" s="33" t="s">
        <v>131</v>
      </c>
      <c r="D19" s="33" t="s">
        <v>74</v>
      </c>
      <c r="E19" s="33" t="s">
        <v>132</v>
      </c>
      <c r="F19" s="33" t="s">
        <v>76</v>
      </c>
      <c r="G19" s="33" t="s">
        <v>77</v>
      </c>
      <c r="H19" s="92">
        <v>5746113.3189018536</v>
      </c>
      <c r="I19" s="92">
        <v>1915370.5010981467</v>
      </c>
      <c r="J19" s="98">
        <f>H19/(H19+I19)</f>
        <v>0.7500000592446403</v>
      </c>
      <c r="K19" s="99" t="s">
        <v>281</v>
      </c>
      <c r="L19" s="103" t="s">
        <v>133</v>
      </c>
      <c r="M19" s="102" t="s">
        <v>79</v>
      </c>
      <c r="N19" s="97">
        <v>7661483.8200000003</v>
      </c>
      <c r="O19" s="102" t="s">
        <v>296</v>
      </c>
      <c r="P19" s="102" t="s">
        <v>134</v>
      </c>
      <c r="Q19" s="54" t="s">
        <v>114</v>
      </c>
      <c r="R19" s="56"/>
      <c r="S19" s="56"/>
      <c r="T19" s="56"/>
      <c r="U19" s="56"/>
      <c r="V19" s="56"/>
      <c r="W19" s="56"/>
      <c r="X19" s="56"/>
      <c r="Y19" s="56"/>
      <c r="Z19" s="56"/>
      <c r="AA19" s="56"/>
      <c r="AB19" s="56"/>
      <c r="AC19" s="56"/>
      <c r="AD19" s="56"/>
      <c r="AE19" s="57"/>
      <c r="AF19" s="57"/>
      <c r="AG19" s="65">
        <f>6403+425</f>
        <v>6828</v>
      </c>
      <c r="AH19" s="65">
        <f>501+425</f>
        <v>926</v>
      </c>
      <c r="AI19" s="58">
        <v>975</v>
      </c>
      <c r="AJ19" s="57"/>
      <c r="AK19" s="57"/>
      <c r="AL19" s="57"/>
      <c r="AM19" s="57"/>
      <c r="AN19" s="65">
        <v>15</v>
      </c>
      <c r="AO19" s="66"/>
      <c r="AP19" s="65">
        <f>4482+297</f>
        <v>4779</v>
      </c>
      <c r="AQ19" s="57"/>
      <c r="AR19" s="57"/>
      <c r="AS19" s="56"/>
      <c r="AT19" s="56"/>
      <c r="AU19" s="56"/>
      <c r="AV19" s="56"/>
      <c r="AW19" s="56"/>
      <c r="AX19" s="56"/>
      <c r="AY19" s="56"/>
      <c r="AZ19" s="56"/>
      <c r="BA19" s="56"/>
      <c r="BB19" s="56"/>
      <c r="BC19" s="61"/>
    </row>
    <row r="20" spans="1:55" ht="112.5" x14ac:dyDescent="0.25">
      <c r="A20" s="43">
        <v>2</v>
      </c>
      <c r="B20" s="154" t="s">
        <v>135</v>
      </c>
      <c r="C20" s="154" t="s">
        <v>136</v>
      </c>
      <c r="D20" s="154" t="s">
        <v>74</v>
      </c>
      <c r="E20" s="154" t="s">
        <v>92</v>
      </c>
      <c r="F20" s="154" t="s">
        <v>93</v>
      </c>
      <c r="G20" s="154" t="s">
        <v>77</v>
      </c>
      <c r="H20" s="92">
        <v>2499108.5017225794</v>
      </c>
      <c r="I20" s="92">
        <v>833035.21827742085</v>
      </c>
      <c r="J20" s="98">
        <f>H20/(H20+I20)</f>
        <v>0.75000021359300173</v>
      </c>
      <c r="K20" s="99" t="s">
        <v>281</v>
      </c>
      <c r="L20" s="103" t="s">
        <v>133</v>
      </c>
      <c r="M20" s="102" t="s">
        <v>95</v>
      </c>
      <c r="N20" s="97">
        <v>3332143.72</v>
      </c>
      <c r="O20" s="102" t="s">
        <v>287</v>
      </c>
      <c r="P20" s="102" t="s">
        <v>137</v>
      </c>
      <c r="Q20" s="54" t="s">
        <v>114</v>
      </c>
      <c r="R20" s="56"/>
      <c r="S20" s="56"/>
      <c r="T20" s="56"/>
      <c r="U20" s="56"/>
      <c r="V20" s="56"/>
      <c r="W20" s="56"/>
      <c r="X20" s="56"/>
      <c r="Y20" s="56"/>
      <c r="Z20" s="56"/>
      <c r="AA20" s="56"/>
      <c r="AB20" s="56"/>
      <c r="AC20" s="56"/>
      <c r="AD20" s="56"/>
      <c r="AE20" s="57"/>
      <c r="AF20" s="57"/>
      <c r="AG20" s="65">
        <v>3022</v>
      </c>
      <c r="AH20" s="65">
        <v>193</v>
      </c>
      <c r="AI20" s="58">
        <v>460</v>
      </c>
      <c r="AJ20" s="57"/>
      <c r="AK20" s="57"/>
      <c r="AL20" s="57"/>
      <c r="AM20" s="57"/>
      <c r="AN20" s="57"/>
      <c r="AO20" s="57"/>
      <c r="AP20" s="133">
        <f>2413-297</f>
        <v>2116</v>
      </c>
      <c r="AQ20" s="57"/>
      <c r="AR20" s="57"/>
      <c r="AS20" s="56"/>
      <c r="AT20" s="56"/>
      <c r="AU20" s="56"/>
      <c r="AV20" s="56"/>
      <c r="AW20" s="56"/>
      <c r="AX20" s="56"/>
      <c r="AY20" s="56"/>
      <c r="AZ20" s="56"/>
      <c r="BA20" s="56"/>
      <c r="BB20" s="56"/>
      <c r="BC20" s="61"/>
    </row>
    <row r="21" spans="1:55" ht="60" x14ac:dyDescent="0.25">
      <c r="A21" s="43"/>
      <c r="B21" s="156"/>
      <c r="C21" s="156"/>
      <c r="D21" s="156"/>
      <c r="E21" s="156"/>
      <c r="F21" s="156"/>
      <c r="G21" s="156"/>
      <c r="H21" s="92">
        <v>266088.39300000004</v>
      </c>
      <c r="I21" s="92">
        <v>29565.376999999979</v>
      </c>
      <c r="J21" s="98">
        <v>0.9</v>
      </c>
      <c r="K21" s="94" t="s">
        <v>280</v>
      </c>
      <c r="L21" s="103" t="s">
        <v>138</v>
      </c>
      <c r="M21" s="102" t="s">
        <v>95</v>
      </c>
      <c r="N21" s="97">
        <v>295653.77</v>
      </c>
      <c r="O21" s="102" t="s">
        <v>311</v>
      </c>
      <c r="P21" s="102" t="s">
        <v>139</v>
      </c>
      <c r="Q21" s="54" t="s">
        <v>140</v>
      </c>
      <c r="R21" s="56"/>
      <c r="S21" s="56"/>
      <c r="T21" s="56"/>
      <c r="U21" s="56"/>
      <c r="V21" s="56"/>
      <c r="W21" s="56"/>
      <c r="X21" s="56"/>
      <c r="Y21" s="56"/>
      <c r="Z21" s="56"/>
      <c r="AA21" s="56"/>
      <c r="AB21" s="56"/>
      <c r="AC21" s="56"/>
      <c r="AD21" s="56"/>
      <c r="AE21" s="57"/>
      <c r="AF21" s="57"/>
      <c r="AG21" s="65">
        <v>300</v>
      </c>
      <c r="AH21" s="57"/>
      <c r="AI21" s="57"/>
      <c r="AJ21" s="57"/>
      <c r="AK21" s="57"/>
      <c r="AL21" s="57"/>
      <c r="AM21" s="57"/>
      <c r="AN21" s="57"/>
      <c r="AO21" s="57"/>
      <c r="AP21" s="57"/>
      <c r="AQ21" s="57"/>
      <c r="AR21" s="57"/>
      <c r="AS21" s="56"/>
      <c r="AT21" s="56"/>
      <c r="AU21" s="56"/>
      <c r="AV21" s="56"/>
      <c r="AW21" s="56"/>
      <c r="AX21" s="56"/>
      <c r="AY21" s="56"/>
      <c r="AZ21" s="56"/>
      <c r="BA21" s="56"/>
      <c r="BB21" s="56"/>
      <c r="BC21" s="61"/>
    </row>
    <row r="22" spans="1:55" ht="90" x14ac:dyDescent="0.25">
      <c r="A22" s="43">
        <v>2</v>
      </c>
      <c r="B22" s="33" t="s">
        <v>141</v>
      </c>
      <c r="C22" s="33" t="s">
        <v>142</v>
      </c>
      <c r="D22" s="33" t="s">
        <v>74</v>
      </c>
      <c r="E22" s="33" t="s">
        <v>92</v>
      </c>
      <c r="F22" s="33" t="s">
        <v>93</v>
      </c>
      <c r="G22" s="33" t="s">
        <v>77</v>
      </c>
      <c r="H22" s="92">
        <v>1120142.115</v>
      </c>
      <c r="I22" s="92">
        <v>124460.23499999987</v>
      </c>
      <c r="J22" s="98">
        <v>0.9</v>
      </c>
      <c r="K22" s="94" t="s">
        <v>280</v>
      </c>
      <c r="L22" s="103" t="s">
        <v>143</v>
      </c>
      <c r="M22" s="102" t="s">
        <v>95</v>
      </c>
      <c r="N22" s="97">
        <v>1244602.3499999999</v>
      </c>
      <c r="O22" s="102" t="s">
        <v>144</v>
      </c>
      <c r="P22" s="102" t="s">
        <v>145</v>
      </c>
      <c r="Q22" s="54" t="s">
        <v>146</v>
      </c>
      <c r="R22" s="56"/>
      <c r="S22" s="56"/>
      <c r="T22" s="56"/>
      <c r="U22" s="56"/>
      <c r="V22" s="56"/>
      <c r="W22" s="56"/>
      <c r="X22" s="56"/>
      <c r="Y22" s="56"/>
      <c r="Z22" s="56"/>
      <c r="AA22" s="56"/>
      <c r="AB22" s="56"/>
      <c r="AC22" s="56"/>
      <c r="AD22" s="56"/>
      <c r="AE22" s="57"/>
      <c r="AF22" s="57"/>
      <c r="AG22" s="65">
        <v>1500</v>
      </c>
      <c r="AH22" s="57"/>
      <c r="AI22" s="57"/>
      <c r="AJ22" s="57"/>
      <c r="AK22" s="57"/>
      <c r="AL22" s="57"/>
      <c r="AM22" s="57"/>
      <c r="AN22" s="57"/>
      <c r="AO22" s="57"/>
      <c r="AP22" s="134">
        <v>1050</v>
      </c>
      <c r="AQ22" s="57"/>
      <c r="AR22" s="57"/>
      <c r="AS22" s="56"/>
      <c r="AT22" s="56"/>
      <c r="AU22" s="56"/>
      <c r="AV22" s="56"/>
      <c r="AW22" s="56"/>
      <c r="AX22" s="56"/>
      <c r="AY22" s="56"/>
      <c r="AZ22" s="56"/>
      <c r="BA22" s="56"/>
      <c r="BB22" s="56"/>
      <c r="BC22" s="61"/>
    </row>
    <row r="23" spans="1:55" ht="60" x14ac:dyDescent="0.25">
      <c r="A23" s="43">
        <v>2</v>
      </c>
      <c r="B23" s="33" t="s">
        <v>147</v>
      </c>
      <c r="C23" s="33" t="s">
        <v>148</v>
      </c>
      <c r="D23" s="33" t="s">
        <v>74</v>
      </c>
      <c r="E23" s="33" t="s">
        <v>149</v>
      </c>
      <c r="F23" s="33" t="s">
        <v>149</v>
      </c>
      <c r="G23" s="33" t="s">
        <v>77</v>
      </c>
      <c r="H23" s="92">
        <f>N23*J23</f>
        <v>720000</v>
      </c>
      <c r="I23" s="92">
        <f>N23*0.1</f>
        <v>80000</v>
      </c>
      <c r="J23" s="98">
        <v>0.9</v>
      </c>
      <c r="K23" s="94" t="s">
        <v>280</v>
      </c>
      <c r="L23" s="103" t="s">
        <v>150</v>
      </c>
      <c r="M23" s="102" t="s">
        <v>79</v>
      </c>
      <c r="N23" s="97">
        <v>800000</v>
      </c>
      <c r="O23" s="102" t="s">
        <v>151</v>
      </c>
      <c r="P23" s="102" t="s">
        <v>152</v>
      </c>
      <c r="Q23" s="54" t="s">
        <v>146</v>
      </c>
      <c r="R23" s="56"/>
      <c r="S23" s="56"/>
      <c r="T23" s="56"/>
      <c r="U23" s="56"/>
      <c r="V23" s="56"/>
      <c r="W23" s="56"/>
      <c r="X23" s="56"/>
      <c r="Y23" s="56"/>
      <c r="Z23" s="56"/>
      <c r="AA23" s="56"/>
      <c r="AB23" s="56"/>
      <c r="AC23" s="56"/>
      <c r="AD23" s="56"/>
      <c r="AE23" s="57"/>
      <c r="AF23" s="57"/>
      <c r="AG23" s="65">
        <v>200</v>
      </c>
      <c r="AH23" s="57"/>
      <c r="AI23" s="57"/>
      <c r="AJ23" s="57"/>
      <c r="AK23" s="57"/>
      <c r="AL23" s="57"/>
      <c r="AM23" s="57"/>
      <c r="AN23" s="57"/>
      <c r="AO23" s="57"/>
      <c r="AP23" s="57"/>
      <c r="AQ23" s="57"/>
      <c r="AR23" s="57"/>
      <c r="AS23" s="56"/>
      <c r="AT23" s="56"/>
      <c r="AU23" s="56"/>
      <c r="AV23" s="56"/>
      <c r="AW23" s="56"/>
      <c r="AX23" s="56"/>
      <c r="AY23" s="56"/>
      <c r="AZ23" s="56"/>
      <c r="BA23" s="56"/>
      <c r="BB23" s="56"/>
      <c r="BC23" s="61"/>
    </row>
    <row r="24" spans="1:55" ht="60" x14ac:dyDescent="0.25">
      <c r="A24" s="43">
        <v>2</v>
      </c>
      <c r="B24" s="33" t="s">
        <v>153</v>
      </c>
      <c r="C24" s="33" t="s">
        <v>154</v>
      </c>
      <c r="D24" s="33" t="s">
        <v>74</v>
      </c>
      <c r="E24" s="33" t="s">
        <v>149</v>
      </c>
      <c r="F24" s="33" t="s">
        <v>149</v>
      </c>
      <c r="G24" s="33" t="s">
        <v>77</v>
      </c>
      <c r="H24" s="92">
        <f>N24*J24</f>
        <v>900000</v>
      </c>
      <c r="I24" s="92">
        <f>N24*0.1</f>
        <v>100000</v>
      </c>
      <c r="J24" s="98">
        <v>0.9</v>
      </c>
      <c r="K24" s="94" t="s">
        <v>280</v>
      </c>
      <c r="L24" s="100" t="s">
        <v>155</v>
      </c>
      <c r="M24" s="102" t="s">
        <v>149</v>
      </c>
      <c r="N24" s="97">
        <v>1000000</v>
      </c>
      <c r="O24" s="102" t="s">
        <v>156</v>
      </c>
      <c r="P24" s="102" t="s">
        <v>157</v>
      </c>
      <c r="Q24" s="54" t="s">
        <v>114</v>
      </c>
      <c r="R24" s="56"/>
      <c r="S24" s="56"/>
      <c r="T24" s="56"/>
      <c r="U24" s="56"/>
      <c r="V24" s="56"/>
      <c r="W24" s="56"/>
      <c r="X24" s="56"/>
      <c r="Y24" s="56"/>
      <c r="Z24" s="56"/>
      <c r="AA24" s="56"/>
      <c r="AB24" s="56"/>
      <c r="AC24" s="56"/>
      <c r="AD24" s="56"/>
      <c r="AE24" s="57"/>
      <c r="AF24" s="57"/>
      <c r="AG24" s="65">
        <v>1000</v>
      </c>
      <c r="AH24" s="57"/>
      <c r="AI24" s="57"/>
      <c r="AJ24" s="65">
        <v>270</v>
      </c>
      <c r="AK24" s="57"/>
      <c r="AL24" s="57"/>
      <c r="AM24" s="57"/>
      <c r="AN24" s="57"/>
      <c r="AO24" s="57"/>
      <c r="AP24" s="57"/>
      <c r="AQ24" s="57"/>
      <c r="AR24" s="57"/>
      <c r="AS24" s="56"/>
      <c r="AT24" s="56"/>
      <c r="AU24" s="56"/>
      <c r="AV24" s="56"/>
      <c r="AW24" s="56"/>
      <c r="AX24" s="56"/>
      <c r="AY24" s="56"/>
      <c r="AZ24" s="56"/>
      <c r="BA24" s="56"/>
      <c r="BB24" s="56"/>
      <c r="BC24" s="61"/>
    </row>
    <row r="25" spans="1:55" x14ac:dyDescent="0.25">
      <c r="A25" s="1">
        <v>1</v>
      </c>
      <c r="B25" s="152" t="s">
        <v>158</v>
      </c>
      <c r="C25" s="157"/>
      <c r="D25" s="157"/>
      <c r="E25" s="157"/>
      <c r="F25" s="157"/>
      <c r="G25" s="157"/>
      <c r="H25" s="107">
        <f>SUM(H28:H45)</f>
        <v>38289675.198500007</v>
      </c>
      <c r="I25" s="107">
        <f>SUM(I28:I45)</f>
        <v>7812717.4615000002</v>
      </c>
      <c r="J25" s="108">
        <f>H25/(I25+H25)</f>
        <v>0.83053553165628691</v>
      </c>
      <c r="K25" s="109">
        <f>SUM(K28:K41)</f>
        <v>0</v>
      </c>
      <c r="L25" s="109">
        <f>SUM(L28:L41)</f>
        <v>0</v>
      </c>
      <c r="M25" s="110">
        <f>SUM(M28:M41)</f>
        <v>0</v>
      </c>
      <c r="N25" s="111">
        <f>SUM(N28:N45)</f>
        <v>46102392.659999996</v>
      </c>
      <c r="O25" s="110">
        <f>SUM(O28:O41)</f>
        <v>0</v>
      </c>
      <c r="P25" s="110"/>
      <c r="Q25" s="48"/>
      <c r="R25" s="49">
        <f t="shared" ref="R25:AD25" si="2">SUM(R28:R45)</f>
        <v>14120</v>
      </c>
      <c r="S25" s="49">
        <f t="shared" si="2"/>
        <v>3100</v>
      </c>
      <c r="T25" s="49">
        <f t="shared" si="2"/>
        <v>6340</v>
      </c>
      <c r="U25" s="49">
        <f t="shared" si="2"/>
        <v>1166</v>
      </c>
      <c r="V25" s="49">
        <f t="shared" si="2"/>
        <v>215</v>
      </c>
      <c r="W25" s="49">
        <f t="shared" si="2"/>
        <v>0</v>
      </c>
      <c r="X25" s="49">
        <f t="shared" si="2"/>
        <v>2200</v>
      </c>
      <c r="Y25" s="49">
        <f t="shared" si="2"/>
        <v>100</v>
      </c>
      <c r="Z25" s="49">
        <f t="shared" si="2"/>
        <v>790</v>
      </c>
      <c r="AA25" s="49">
        <f t="shared" si="2"/>
        <v>790</v>
      </c>
      <c r="AB25" s="49">
        <f t="shared" si="2"/>
        <v>0</v>
      </c>
      <c r="AC25" s="49">
        <f t="shared" si="2"/>
        <v>0</v>
      </c>
      <c r="AD25" s="49">
        <f t="shared" si="2"/>
        <v>0</v>
      </c>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50"/>
    </row>
    <row r="26" spans="1:55" ht="60" x14ac:dyDescent="0.25">
      <c r="A26" s="43">
        <v>1</v>
      </c>
      <c r="B26" s="68" t="s">
        <v>159</v>
      </c>
      <c r="C26" s="33" t="s">
        <v>160</v>
      </c>
      <c r="D26" s="33" t="s">
        <v>64</v>
      </c>
      <c r="E26" s="33" t="s">
        <v>65</v>
      </c>
      <c r="F26" s="33" t="s">
        <v>65</v>
      </c>
      <c r="G26" s="34"/>
      <c r="H26" s="112"/>
      <c r="I26" s="112"/>
      <c r="J26" s="113"/>
      <c r="K26" s="99" t="s">
        <v>281</v>
      </c>
      <c r="L26" s="114"/>
      <c r="M26" s="115"/>
      <c r="N26" s="116"/>
      <c r="O26" s="115"/>
      <c r="P26" s="115"/>
      <c r="Q26" s="70"/>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61"/>
    </row>
    <row r="27" spans="1:55" ht="150" x14ac:dyDescent="0.25">
      <c r="A27" s="43">
        <v>1</v>
      </c>
      <c r="B27" s="68" t="s">
        <v>161</v>
      </c>
      <c r="C27" s="33" t="s">
        <v>162</v>
      </c>
      <c r="D27" s="33" t="s">
        <v>68</v>
      </c>
      <c r="E27" s="33" t="s">
        <v>65</v>
      </c>
      <c r="F27" s="33" t="s">
        <v>65</v>
      </c>
      <c r="G27" s="34"/>
      <c r="H27" s="112"/>
      <c r="I27" s="112"/>
      <c r="J27" s="113"/>
      <c r="K27" s="99" t="s">
        <v>281</v>
      </c>
      <c r="L27" s="114"/>
      <c r="M27" s="115"/>
      <c r="N27" s="116"/>
      <c r="O27" s="115"/>
      <c r="P27" s="115"/>
      <c r="Q27" s="70"/>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61"/>
    </row>
    <row r="28" spans="1:55" ht="45" x14ac:dyDescent="0.25">
      <c r="A28" s="43">
        <v>1</v>
      </c>
      <c r="B28" s="174" t="s">
        <v>163</v>
      </c>
      <c r="C28" s="154" t="s">
        <v>164</v>
      </c>
      <c r="D28" s="154" t="s">
        <v>74</v>
      </c>
      <c r="E28" s="153" t="s">
        <v>165</v>
      </c>
      <c r="F28" s="153" t="s">
        <v>76</v>
      </c>
      <c r="G28" s="153" t="s">
        <v>77</v>
      </c>
      <c r="H28" s="172">
        <f>930972.73</f>
        <v>930972.73</v>
      </c>
      <c r="I28" s="172">
        <v>310324.24</v>
      </c>
      <c r="J28" s="173">
        <f>H28/(H28+I28)</f>
        <v>0.7500000020140225</v>
      </c>
      <c r="K28" s="99" t="s">
        <v>281</v>
      </c>
      <c r="L28" s="103" t="s">
        <v>166</v>
      </c>
      <c r="M28" s="102" t="s">
        <v>167</v>
      </c>
      <c r="N28" s="97">
        <v>1010409</v>
      </c>
      <c r="O28" s="102" t="s">
        <v>297</v>
      </c>
      <c r="P28" s="102" t="s">
        <v>168</v>
      </c>
      <c r="Q28" s="54" t="s">
        <v>169</v>
      </c>
      <c r="R28" s="71"/>
      <c r="S28" s="71"/>
      <c r="T28" s="71"/>
      <c r="U28" s="71"/>
      <c r="V28" s="58">
        <v>75</v>
      </c>
      <c r="W28" s="71"/>
      <c r="X28" s="71"/>
      <c r="Y28" s="71"/>
      <c r="Z28" s="71"/>
      <c r="AA28" s="71"/>
      <c r="AB28" s="71"/>
      <c r="AC28" s="71"/>
      <c r="AD28" s="71"/>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61"/>
    </row>
    <row r="29" spans="1:55" ht="60" x14ac:dyDescent="0.25">
      <c r="A29" s="43">
        <v>1</v>
      </c>
      <c r="B29" s="175"/>
      <c r="C29" s="155"/>
      <c r="D29" s="156"/>
      <c r="E29" s="153"/>
      <c r="F29" s="153"/>
      <c r="G29" s="153"/>
      <c r="H29" s="172"/>
      <c r="I29" s="172"/>
      <c r="J29" s="173"/>
      <c r="K29" s="99" t="s">
        <v>281</v>
      </c>
      <c r="L29" s="103" t="s">
        <v>170</v>
      </c>
      <c r="M29" s="102" t="s">
        <v>121</v>
      </c>
      <c r="N29" s="97">
        <v>230887.97</v>
      </c>
      <c r="O29" s="102" t="s">
        <v>295</v>
      </c>
      <c r="P29" s="102" t="s">
        <v>171</v>
      </c>
      <c r="Q29" s="54" t="s">
        <v>169</v>
      </c>
      <c r="R29" s="71"/>
      <c r="S29" s="71"/>
      <c r="T29" s="71"/>
      <c r="U29" s="71"/>
      <c r="V29" s="71"/>
      <c r="W29" s="71"/>
      <c r="X29" s="71"/>
      <c r="Y29" s="71"/>
      <c r="Z29" s="71"/>
      <c r="AA29" s="71"/>
      <c r="AB29" s="71"/>
      <c r="AC29" s="71"/>
      <c r="AD29" s="71"/>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61"/>
    </row>
    <row r="30" spans="1:55" ht="60" x14ac:dyDescent="0.25">
      <c r="A30" s="43">
        <v>1</v>
      </c>
      <c r="B30" s="175"/>
      <c r="C30" s="155"/>
      <c r="D30" s="62" t="s">
        <v>74</v>
      </c>
      <c r="E30" s="154" t="s">
        <v>172</v>
      </c>
      <c r="F30" s="154" t="s">
        <v>76</v>
      </c>
      <c r="G30" s="154" t="s">
        <v>77</v>
      </c>
      <c r="H30" s="92">
        <f>N30*J30</f>
        <v>6570000</v>
      </c>
      <c r="I30" s="92">
        <f>N30*0.1</f>
        <v>730000</v>
      </c>
      <c r="J30" s="98">
        <v>0.9</v>
      </c>
      <c r="K30" s="94" t="s">
        <v>280</v>
      </c>
      <c r="L30" s="103" t="s">
        <v>173</v>
      </c>
      <c r="M30" s="102" t="s">
        <v>121</v>
      </c>
      <c r="N30" s="97">
        <v>7300000</v>
      </c>
      <c r="O30" s="102" t="s">
        <v>288</v>
      </c>
      <c r="P30" s="102" t="s">
        <v>174</v>
      </c>
      <c r="Q30" s="54" t="s">
        <v>169</v>
      </c>
      <c r="R30" s="71"/>
      <c r="S30" s="71"/>
      <c r="T30" s="71"/>
      <c r="U30" s="71"/>
      <c r="V30" s="71"/>
      <c r="W30" s="71"/>
      <c r="X30" s="58">
        <v>1200</v>
      </c>
      <c r="Y30" s="58">
        <v>100</v>
      </c>
      <c r="Z30" s="71"/>
      <c r="AA30" s="71"/>
      <c r="AB30" s="71"/>
      <c r="AC30" s="71"/>
      <c r="AD30" s="71"/>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1"/>
    </row>
    <row r="31" spans="1:55" ht="30" x14ac:dyDescent="0.25">
      <c r="A31" s="43">
        <v>1</v>
      </c>
      <c r="B31" s="176"/>
      <c r="C31" s="156"/>
      <c r="D31" s="51"/>
      <c r="E31" s="156"/>
      <c r="F31" s="156"/>
      <c r="G31" s="156"/>
      <c r="H31" s="92">
        <v>4500000</v>
      </c>
      <c r="I31" s="92">
        <v>1500000</v>
      </c>
      <c r="J31" s="98">
        <v>0.75</v>
      </c>
      <c r="K31" s="99" t="s">
        <v>281</v>
      </c>
      <c r="L31" s="98" t="s">
        <v>175</v>
      </c>
      <c r="M31" s="102" t="s">
        <v>121</v>
      </c>
      <c r="N31" s="97">
        <f>H31+I31</f>
        <v>6000000</v>
      </c>
      <c r="O31" s="102" t="s">
        <v>80</v>
      </c>
      <c r="P31" s="102" t="s">
        <v>176</v>
      </c>
      <c r="Q31" s="54" t="s">
        <v>169</v>
      </c>
      <c r="R31" s="71"/>
      <c r="S31" s="71"/>
      <c r="T31" s="71"/>
      <c r="U31" s="71"/>
      <c r="V31" s="71"/>
      <c r="W31" s="71"/>
      <c r="X31" s="71"/>
      <c r="Y31" s="71"/>
      <c r="Z31" s="71"/>
      <c r="AA31" s="71"/>
      <c r="AB31" s="71"/>
      <c r="AC31" s="71"/>
      <c r="AD31" s="71"/>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1"/>
    </row>
    <row r="32" spans="1:55" ht="60" x14ac:dyDescent="0.25">
      <c r="A32" s="43">
        <v>1</v>
      </c>
      <c r="B32" s="72" t="s">
        <v>177</v>
      </c>
      <c r="C32" s="51" t="s">
        <v>178</v>
      </c>
      <c r="D32" s="51" t="s">
        <v>74</v>
      </c>
      <c r="E32" s="33" t="s">
        <v>179</v>
      </c>
      <c r="F32" s="33" t="s">
        <v>76</v>
      </c>
      <c r="G32" s="33" t="s">
        <v>77</v>
      </c>
      <c r="H32" s="92">
        <f>N32*0.9</f>
        <v>4605547.5</v>
      </c>
      <c r="I32" s="92">
        <f>N32-H32</f>
        <v>511727.5</v>
      </c>
      <c r="J32" s="98">
        <v>0.9</v>
      </c>
      <c r="K32" s="94" t="s">
        <v>280</v>
      </c>
      <c r="L32" s="103" t="s">
        <v>180</v>
      </c>
      <c r="M32" s="102" t="s">
        <v>79</v>
      </c>
      <c r="N32" s="97">
        <v>5117275</v>
      </c>
      <c r="O32" s="102" t="s">
        <v>289</v>
      </c>
      <c r="P32" s="102" t="s">
        <v>181</v>
      </c>
      <c r="Q32" s="54" t="s">
        <v>182</v>
      </c>
      <c r="R32" s="71"/>
      <c r="S32" s="71"/>
      <c r="T32" s="71"/>
      <c r="U32" s="65">
        <v>70</v>
      </c>
      <c r="V32" s="71"/>
      <c r="W32" s="71"/>
      <c r="X32" s="71"/>
      <c r="Y32" s="71"/>
      <c r="Z32" s="65">
        <v>50</v>
      </c>
      <c r="AA32" s="65">
        <v>50</v>
      </c>
      <c r="AB32" s="71"/>
      <c r="AC32" s="71"/>
      <c r="AD32" s="71"/>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1"/>
    </row>
    <row r="33" spans="1:55" ht="101.25" x14ac:dyDescent="0.25">
      <c r="A33" s="43">
        <v>1</v>
      </c>
      <c r="B33" s="68" t="s">
        <v>183</v>
      </c>
      <c r="C33" s="33" t="s">
        <v>184</v>
      </c>
      <c r="D33" s="33" t="s">
        <v>74</v>
      </c>
      <c r="E33" s="33" t="s">
        <v>185</v>
      </c>
      <c r="F33" s="33" t="s">
        <v>76</v>
      </c>
      <c r="G33" s="33" t="s">
        <v>77</v>
      </c>
      <c r="H33" s="92">
        <v>9258266.6500000004</v>
      </c>
      <c r="I33" s="92">
        <v>2314566.66</v>
      </c>
      <c r="J33" s="98">
        <f>H33/(H33+I33)</f>
        <v>0.80000000017281847</v>
      </c>
      <c r="K33" s="99" t="s">
        <v>186</v>
      </c>
      <c r="L33" s="103" t="s">
        <v>187</v>
      </c>
      <c r="M33" s="102" t="s">
        <v>188</v>
      </c>
      <c r="N33" s="97">
        <v>11572833.310000001</v>
      </c>
      <c r="O33" s="102" t="s">
        <v>298</v>
      </c>
      <c r="P33" s="102" t="s">
        <v>189</v>
      </c>
      <c r="Q33" s="54" t="s">
        <v>169</v>
      </c>
      <c r="R33" s="71"/>
      <c r="S33" s="71"/>
      <c r="T33" s="71"/>
      <c r="U33" s="71"/>
      <c r="V33" s="58">
        <v>140</v>
      </c>
      <c r="W33" s="71"/>
      <c r="X33" s="58">
        <v>1000</v>
      </c>
      <c r="Y33" s="71"/>
      <c r="Z33" s="71"/>
      <c r="AA33" s="71"/>
      <c r="AB33" s="71"/>
      <c r="AC33" s="71"/>
      <c r="AD33" s="71"/>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61"/>
    </row>
    <row r="34" spans="1:55" ht="45" x14ac:dyDescent="0.25">
      <c r="A34" s="43">
        <v>1</v>
      </c>
      <c r="B34" s="154" t="s">
        <v>190</v>
      </c>
      <c r="C34" s="154" t="s">
        <v>191</v>
      </c>
      <c r="D34" s="154" t="s">
        <v>74</v>
      </c>
      <c r="E34" s="154" t="s">
        <v>192</v>
      </c>
      <c r="F34" s="154" t="s">
        <v>76</v>
      </c>
      <c r="G34" s="154" t="s">
        <v>77</v>
      </c>
      <c r="H34" s="165">
        <f>(N34+N35+N36)*J34</f>
        <v>4281581.4524999997</v>
      </c>
      <c r="I34" s="165">
        <f>(N34+N35+N36)*0.25</f>
        <v>1427193.8174999999</v>
      </c>
      <c r="J34" s="170">
        <v>0.75</v>
      </c>
      <c r="K34" s="99" t="s">
        <v>281</v>
      </c>
      <c r="L34" s="103" t="s">
        <v>193</v>
      </c>
      <c r="M34" s="102" t="s">
        <v>121</v>
      </c>
      <c r="N34" s="97">
        <f>1900000*2+280000-980000+500000</f>
        <v>3600000</v>
      </c>
      <c r="O34" s="102" t="s">
        <v>299</v>
      </c>
      <c r="P34" s="102" t="s">
        <v>194</v>
      </c>
      <c r="Q34" s="54" t="s">
        <v>169</v>
      </c>
      <c r="R34" s="73">
        <f>8125</f>
        <v>8125</v>
      </c>
      <c r="S34" s="71"/>
      <c r="T34" s="73">
        <f>3150</f>
        <v>3150</v>
      </c>
      <c r="U34" s="71"/>
      <c r="V34" s="71"/>
      <c r="W34" s="71"/>
      <c r="X34" s="71"/>
      <c r="Y34" s="71"/>
      <c r="Z34" s="71"/>
      <c r="AA34" s="71"/>
      <c r="AB34" s="71"/>
      <c r="AC34" s="71"/>
      <c r="AD34" s="71"/>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61"/>
    </row>
    <row r="35" spans="1:55" ht="30" x14ac:dyDescent="0.25">
      <c r="A35" s="43">
        <v>1</v>
      </c>
      <c r="B35" s="155"/>
      <c r="C35" s="155"/>
      <c r="D35" s="155"/>
      <c r="E35" s="155"/>
      <c r="F35" s="155"/>
      <c r="G35" s="155"/>
      <c r="H35" s="166"/>
      <c r="I35" s="166"/>
      <c r="J35" s="171"/>
      <c r="K35" s="99" t="s">
        <v>281</v>
      </c>
      <c r="L35" s="103" t="s">
        <v>195</v>
      </c>
      <c r="M35" s="102" t="s">
        <v>196</v>
      </c>
      <c r="N35" s="97">
        <v>399997.51</v>
      </c>
      <c r="O35" s="102" t="s">
        <v>290</v>
      </c>
      <c r="P35" s="102" t="s">
        <v>197</v>
      </c>
      <c r="Q35" s="54" t="s">
        <v>169</v>
      </c>
      <c r="R35" s="58">
        <f>300+100</f>
        <v>400</v>
      </c>
      <c r="S35" s="58">
        <v>400</v>
      </c>
      <c r="T35" s="71"/>
      <c r="U35" s="71"/>
      <c r="V35" s="71"/>
      <c r="W35" s="71"/>
      <c r="X35" s="71"/>
      <c r="Y35" s="71"/>
      <c r="Z35" s="71"/>
      <c r="AA35" s="71"/>
      <c r="AB35" s="71"/>
      <c r="AC35" s="71"/>
      <c r="AD35" s="71"/>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1"/>
    </row>
    <row r="36" spans="1:55" ht="30" x14ac:dyDescent="0.25">
      <c r="A36" s="43">
        <v>1</v>
      </c>
      <c r="B36" s="155"/>
      <c r="C36" s="155"/>
      <c r="D36" s="155"/>
      <c r="E36" s="155"/>
      <c r="F36" s="155"/>
      <c r="G36" s="155"/>
      <c r="H36" s="166"/>
      <c r="I36" s="166"/>
      <c r="J36" s="171"/>
      <c r="K36" s="99" t="s">
        <v>281</v>
      </c>
      <c r="L36" s="103" t="s">
        <v>195</v>
      </c>
      <c r="M36" s="102" t="s">
        <v>79</v>
      </c>
      <c r="N36" s="97">
        <f>1250000+458777.76</f>
        <v>1708777.76</v>
      </c>
      <c r="O36" s="102" t="s">
        <v>301</v>
      </c>
      <c r="P36" s="102" t="s">
        <v>198</v>
      </c>
      <c r="Q36" s="54" t="s">
        <v>169</v>
      </c>
      <c r="R36" s="65">
        <f>2200+100+400</f>
        <v>2700</v>
      </c>
      <c r="S36" s="58">
        <f>2300+400</f>
        <v>2700</v>
      </c>
      <c r="T36" s="58">
        <v>1420</v>
      </c>
      <c r="U36" s="71"/>
      <c r="V36" s="71"/>
      <c r="W36" s="71"/>
      <c r="X36" s="71"/>
      <c r="Y36" s="71"/>
      <c r="Z36" s="71"/>
      <c r="AA36" s="71"/>
      <c r="AB36" s="71"/>
      <c r="AC36" s="71"/>
      <c r="AD36" s="71"/>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61"/>
    </row>
    <row r="37" spans="1:55" ht="67.5" x14ac:dyDescent="0.25">
      <c r="A37" s="43">
        <v>1</v>
      </c>
      <c r="B37" s="156"/>
      <c r="C37" s="156"/>
      <c r="D37" s="33" t="s">
        <v>74</v>
      </c>
      <c r="E37" s="33" t="s">
        <v>102</v>
      </c>
      <c r="F37" s="33" t="s">
        <v>76</v>
      </c>
      <c r="G37" s="33" t="s">
        <v>77</v>
      </c>
      <c r="H37" s="92">
        <f>N37*J37</f>
        <v>1584841.077</v>
      </c>
      <c r="I37" s="92">
        <f>N37-H37</f>
        <v>176093.45299999998</v>
      </c>
      <c r="J37" s="98">
        <v>0.9</v>
      </c>
      <c r="K37" s="99" t="s">
        <v>280</v>
      </c>
      <c r="L37" s="103" t="s">
        <v>282</v>
      </c>
      <c r="M37" s="102" t="s">
        <v>79</v>
      </c>
      <c r="N37" s="97">
        <v>1760934.53</v>
      </c>
      <c r="O37" s="117" t="s">
        <v>309</v>
      </c>
      <c r="P37" s="117" t="s">
        <v>199</v>
      </c>
      <c r="Q37" s="54" t="s">
        <v>169</v>
      </c>
      <c r="R37" s="65">
        <v>1250</v>
      </c>
      <c r="S37" s="71"/>
      <c r="T37" s="58">
        <v>500</v>
      </c>
      <c r="U37" s="71"/>
      <c r="V37" s="71"/>
      <c r="W37" s="71"/>
      <c r="X37" s="71"/>
      <c r="Y37" s="71"/>
      <c r="Z37" s="71"/>
      <c r="AA37" s="71"/>
      <c r="AB37" s="71"/>
      <c r="AC37" s="71"/>
      <c r="AD37" s="71"/>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1"/>
    </row>
    <row r="38" spans="1:55" ht="90" x14ac:dyDescent="0.25">
      <c r="A38" s="43">
        <v>1</v>
      </c>
      <c r="B38" s="68" t="s">
        <v>200</v>
      </c>
      <c r="C38" s="33" t="s">
        <v>191</v>
      </c>
      <c r="D38" s="33" t="s">
        <v>74</v>
      </c>
      <c r="E38" s="33" t="s">
        <v>92</v>
      </c>
      <c r="F38" s="33" t="s">
        <v>93</v>
      </c>
      <c r="G38" s="33" t="s">
        <v>77</v>
      </c>
      <c r="H38" s="92">
        <v>375000</v>
      </c>
      <c r="I38" s="92">
        <v>125000</v>
      </c>
      <c r="J38" s="98">
        <f>H38/(H38+I38)</f>
        <v>0.75</v>
      </c>
      <c r="K38" s="99" t="s">
        <v>281</v>
      </c>
      <c r="L38" s="103" t="s">
        <v>201</v>
      </c>
      <c r="M38" s="102" t="s">
        <v>95</v>
      </c>
      <c r="N38" s="97">
        <v>500000</v>
      </c>
      <c r="O38" s="102" t="s">
        <v>291</v>
      </c>
      <c r="P38" s="102" t="s">
        <v>202</v>
      </c>
      <c r="Q38" s="54" t="s">
        <v>169</v>
      </c>
      <c r="R38" s="73">
        <f>N38/800</f>
        <v>625</v>
      </c>
      <c r="S38" s="71"/>
      <c r="T38" s="73">
        <f>R38*40%</f>
        <v>250</v>
      </c>
      <c r="U38" s="71"/>
      <c r="V38" s="71"/>
      <c r="W38" s="71"/>
      <c r="X38" s="71"/>
      <c r="Y38" s="71"/>
      <c r="Z38" s="71"/>
      <c r="AA38" s="71"/>
      <c r="AB38" s="71"/>
      <c r="AC38" s="71"/>
      <c r="AD38" s="71"/>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61"/>
    </row>
    <row r="39" spans="1:55" ht="90" x14ac:dyDescent="0.25">
      <c r="A39" s="43">
        <v>1</v>
      </c>
      <c r="B39" s="154" t="s">
        <v>203</v>
      </c>
      <c r="C39" s="154" t="s">
        <v>204</v>
      </c>
      <c r="D39" s="33" t="s">
        <v>74</v>
      </c>
      <c r="E39" s="33" t="s">
        <v>92</v>
      </c>
      <c r="F39" s="33" t="s">
        <v>93</v>
      </c>
      <c r="G39" s="33" t="s">
        <v>77</v>
      </c>
      <c r="H39" s="92">
        <f>N39*0.75</f>
        <v>25993.200000000004</v>
      </c>
      <c r="I39" s="118">
        <f>N39*0.25</f>
        <v>8664.4000000000015</v>
      </c>
      <c r="J39" s="98">
        <v>0.75</v>
      </c>
      <c r="K39" s="99" t="s">
        <v>281</v>
      </c>
      <c r="L39" s="103" t="s">
        <v>205</v>
      </c>
      <c r="M39" s="102" t="s">
        <v>95</v>
      </c>
      <c r="N39" s="97">
        <v>34657.600000000006</v>
      </c>
      <c r="O39" s="102" t="s">
        <v>304</v>
      </c>
      <c r="P39" s="119"/>
      <c r="Q39" s="54" t="s">
        <v>182</v>
      </c>
      <c r="R39" s="71"/>
      <c r="S39" s="71"/>
      <c r="T39" s="71"/>
      <c r="U39" s="58">
        <v>130</v>
      </c>
      <c r="V39" s="71"/>
      <c r="W39" s="71"/>
      <c r="X39" s="71"/>
      <c r="Y39" s="71"/>
      <c r="Z39" s="58">
        <v>90</v>
      </c>
      <c r="AA39" s="58">
        <v>90</v>
      </c>
      <c r="AB39" s="71"/>
      <c r="AC39" s="71"/>
      <c r="AD39" s="71"/>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61"/>
    </row>
    <row r="40" spans="1:55" ht="60" x14ac:dyDescent="0.25">
      <c r="A40" s="43">
        <v>1</v>
      </c>
      <c r="B40" s="156"/>
      <c r="C40" s="156"/>
      <c r="D40" s="33" t="s">
        <v>74</v>
      </c>
      <c r="E40" s="33" t="s">
        <v>206</v>
      </c>
      <c r="F40" s="33" t="s">
        <v>76</v>
      </c>
      <c r="G40" s="33" t="s">
        <v>77</v>
      </c>
      <c r="H40" s="92">
        <v>3548021.8319999999</v>
      </c>
      <c r="I40" s="92">
        <v>394224.64800000004</v>
      </c>
      <c r="J40" s="120">
        <v>0.9</v>
      </c>
      <c r="K40" s="99" t="s">
        <v>280</v>
      </c>
      <c r="L40" s="103" t="s">
        <v>207</v>
      </c>
      <c r="M40" s="102" t="s">
        <v>79</v>
      </c>
      <c r="N40" s="97">
        <f>H40+I40</f>
        <v>3942246.48</v>
      </c>
      <c r="O40" s="102" t="s">
        <v>208</v>
      </c>
      <c r="P40" s="102" t="s">
        <v>209</v>
      </c>
      <c r="Q40" s="54" t="s">
        <v>182</v>
      </c>
      <c r="R40" s="71"/>
      <c r="S40" s="71"/>
      <c r="T40" s="71"/>
      <c r="U40" s="58">
        <v>700</v>
      </c>
      <c r="V40" s="71"/>
      <c r="W40" s="71"/>
      <c r="X40" s="71"/>
      <c r="Y40" s="71"/>
      <c r="Z40" s="58">
        <f>U40*0.7</f>
        <v>489.99999999999994</v>
      </c>
      <c r="AA40" s="58">
        <f>U40*0.7</f>
        <v>489.99999999999994</v>
      </c>
      <c r="AB40" s="71"/>
      <c r="AC40" s="71"/>
      <c r="AD40" s="71"/>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61"/>
    </row>
    <row r="41" spans="1:55" ht="90" x14ac:dyDescent="0.25">
      <c r="A41" s="43">
        <v>1</v>
      </c>
      <c r="B41" s="154" t="s">
        <v>210</v>
      </c>
      <c r="C41" s="154" t="s">
        <v>211</v>
      </c>
      <c r="D41" s="33" t="s">
        <v>74</v>
      </c>
      <c r="E41" s="33" t="s">
        <v>92</v>
      </c>
      <c r="F41" s="33" t="s">
        <v>93</v>
      </c>
      <c r="G41" s="33" t="s">
        <v>77</v>
      </c>
      <c r="H41" s="92">
        <v>112426.965</v>
      </c>
      <c r="I41" s="92">
        <v>37475.654999999999</v>
      </c>
      <c r="J41" s="98">
        <f>H41/(H41+I41)</f>
        <v>0.75</v>
      </c>
      <c r="K41" s="99" t="s">
        <v>281</v>
      </c>
      <c r="L41" s="103" t="s">
        <v>212</v>
      </c>
      <c r="M41" s="102" t="s">
        <v>95</v>
      </c>
      <c r="N41" s="97">
        <f>H41+I41</f>
        <v>149902.62</v>
      </c>
      <c r="O41" s="102" t="s">
        <v>305</v>
      </c>
      <c r="P41" s="102" t="s">
        <v>213</v>
      </c>
      <c r="Q41" s="54" t="s">
        <v>214</v>
      </c>
      <c r="R41" s="71"/>
      <c r="S41" s="71"/>
      <c r="T41" s="71"/>
      <c r="U41" s="71"/>
      <c r="V41" s="71"/>
      <c r="W41" s="71"/>
      <c r="X41" s="71"/>
      <c r="Y41" s="71"/>
      <c r="Z41" s="71"/>
      <c r="AA41" s="71"/>
      <c r="AB41" s="71"/>
      <c r="AC41" s="71"/>
      <c r="AD41" s="71"/>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61"/>
    </row>
    <row r="42" spans="1:55" ht="90" x14ac:dyDescent="0.25">
      <c r="A42" s="43">
        <v>1</v>
      </c>
      <c r="B42" s="156"/>
      <c r="C42" s="156"/>
      <c r="D42" s="33" t="s">
        <v>74</v>
      </c>
      <c r="E42" s="33" t="s">
        <v>92</v>
      </c>
      <c r="F42" s="33" t="s">
        <v>93</v>
      </c>
      <c r="G42" s="33" t="s">
        <v>77</v>
      </c>
      <c r="H42" s="92">
        <f>N42*J42</f>
        <v>651373.20000000007</v>
      </c>
      <c r="I42" s="92">
        <f>N42-H42</f>
        <v>72374.79999999993</v>
      </c>
      <c r="J42" s="120">
        <v>0.9</v>
      </c>
      <c r="K42" s="99" t="s">
        <v>280</v>
      </c>
      <c r="L42" s="103" t="s">
        <v>215</v>
      </c>
      <c r="M42" s="102" t="s">
        <v>95</v>
      </c>
      <c r="N42" s="97">
        <v>723748</v>
      </c>
      <c r="O42" s="102" t="s">
        <v>216</v>
      </c>
      <c r="P42" s="102" t="s">
        <v>217</v>
      </c>
      <c r="Q42" s="54" t="s">
        <v>214</v>
      </c>
      <c r="R42" s="71"/>
      <c r="S42" s="71"/>
      <c r="T42" s="71"/>
      <c r="U42" s="71"/>
      <c r="V42" s="71"/>
      <c r="W42" s="71"/>
      <c r="X42" s="71"/>
      <c r="Y42" s="71"/>
      <c r="Z42" s="71"/>
      <c r="AA42" s="71"/>
      <c r="AB42" s="71"/>
      <c r="AC42" s="71"/>
      <c r="AD42" s="71"/>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1"/>
    </row>
    <row r="43" spans="1:55" ht="60" x14ac:dyDescent="0.25">
      <c r="A43" s="43">
        <v>1</v>
      </c>
      <c r="B43" s="161" t="s">
        <v>218</v>
      </c>
      <c r="C43" s="161" t="s">
        <v>219</v>
      </c>
      <c r="D43" s="161" t="s">
        <v>74</v>
      </c>
      <c r="E43" s="161" t="s">
        <v>220</v>
      </c>
      <c r="F43" s="161" t="s">
        <v>76</v>
      </c>
      <c r="G43" s="161" t="s">
        <v>77</v>
      </c>
      <c r="H43" s="163">
        <f>SUM(N43:N44)*J43</f>
        <v>945650.59200000018</v>
      </c>
      <c r="I43" s="167">
        <f>SUM(N43:N44)-H43</f>
        <v>105072.28799999994</v>
      </c>
      <c r="J43" s="168">
        <v>0.9</v>
      </c>
      <c r="K43" s="99" t="s">
        <v>280</v>
      </c>
      <c r="L43" s="121" t="s">
        <v>221</v>
      </c>
      <c r="M43" s="102" t="s">
        <v>79</v>
      </c>
      <c r="N43" s="97">
        <v>237411.6</v>
      </c>
      <c r="O43" s="102" t="s">
        <v>151</v>
      </c>
      <c r="P43" s="102" t="s">
        <v>222</v>
      </c>
      <c r="Q43" s="54" t="s">
        <v>223</v>
      </c>
      <c r="R43" s="71"/>
      <c r="S43" s="71"/>
      <c r="T43" s="71"/>
      <c r="U43" s="58">
        <v>260</v>
      </c>
      <c r="V43" s="71"/>
      <c r="W43" s="71"/>
      <c r="X43" s="71"/>
      <c r="Y43" s="71"/>
      <c r="Z43" s="58">
        <v>160</v>
      </c>
      <c r="AA43" s="58">
        <v>160</v>
      </c>
      <c r="AB43" s="71"/>
      <c r="AC43" s="71"/>
      <c r="AD43" s="71"/>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61"/>
    </row>
    <row r="44" spans="1:55" ht="60" x14ac:dyDescent="0.25">
      <c r="A44" s="43"/>
      <c r="B44" s="162"/>
      <c r="C44" s="162"/>
      <c r="D44" s="162"/>
      <c r="E44" s="162"/>
      <c r="F44" s="162"/>
      <c r="G44" s="162"/>
      <c r="H44" s="164"/>
      <c r="I44" s="164"/>
      <c r="J44" s="169"/>
      <c r="K44" s="99" t="s">
        <v>280</v>
      </c>
      <c r="L44" s="121" t="s">
        <v>224</v>
      </c>
      <c r="M44" s="102" t="s">
        <v>79</v>
      </c>
      <c r="N44" s="97">
        <v>813311.28</v>
      </c>
      <c r="O44" s="102" t="s">
        <v>225</v>
      </c>
      <c r="P44" s="102" t="s">
        <v>226</v>
      </c>
      <c r="Q44" s="54" t="s">
        <v>223</v>
      </c>
      <c r="R44" s="58">
        <v>20</v>
      </c>
      <c r="S44" s="71"/>
      <c r="T44" s="58">
        <v>20</v>
      </c>
      <c r="U44" s="58">
        <v>6</v>
      </c>
      <c r="V44" s="71"/>
      <c r="W44" s="71"/>
      <c r="X44" s="71"/>
      <c r="Y44" s="71"/>
      <c r="Z44" s="58"/>
      <c r="AA44" s="58"/>
      <c r="AB44" s="71"/>
      <c r="AC44" s="71"/>
      <c r="AD44" s="71"/>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1"/>
    </row>
    <row r="45" spans="1:55" ht="60" x14ac:dyDescent="0.25">
      <c r="A45" s="12">
        <v>1</v>
      </c>
      <c r="B45" s="68" t="s">
        <v>227</v>
      </c>
      <c r="C45" s="33" t="s">
        <v>228</v>
      </c>
      <c r="D45" s="33" t="s">
        <v>74</v>
      </c>
      <c r="E45" s="33" t="s">
        <v>102</v>
      </c>
      <c r="F45" s="33" t="s">
        <v>76</v>
      </c>
      <c r="G45" s="33" t="s">
        <v>77</v>
      </c>
      <c r="H45" s="92">
        <f>N45*J45</f>
        <v>900000</v>
      </c>
      <c r="I45" s="92">
        <f>N45-H45</f>
        <v>100000</v>
      </c>
      <c r="J45" s="120">
        <v>0.9</v>
      </c>
      <c r="K45" s="99" t="s">
        <v>280</v>
      </c>
      <c r="L45" s="100" t="s">
        <v>229</v>
      </c>
      <c r="M45" s="102" t="s">
        <v>79</v>
      </c>
      <c r="N45" s="97">
        <v>1000000</v>
      </c>
      <c r="O45" s="102" t="s">
        <v>292</v>
      </c>
      <c r="P45" s="102" t="s">
        <v>230</v>
      </c>
      <c r="Q45" s="54" t="s">
        <v>223</v>
      </c>
      <c r="R45" s="58">
        <v>1000</v>
      </c>
      <c r="S45" s="71"/>
      <c r="T45" s="58">
        <v>1000</v>
      </c>
      <c r="U45" s="71"/>
      <c r="V45" s="71"/>
      <c r="W45" s="71"/>
      <c r="X45" s="71"/>
      <c r="Y45" s="71"/>
      <c r="Z45" s="71"/>
      <c r="AA45" s="71"/>
      <c r="AB45" s="71"/>
      <c r="AC45" s="71"/>
      <c r="AD45" s="71"/>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1"/>
    </row>
    <row r="46" spans="1:55" ht="27.6" customHeight="1" x14ac:dyDescent="0.25">
      <c r="A46" s="43">
        <v>3</v>
      </c>
      <c r="B46" s="157" t="s">
        <v>231</v>
      </c>
      <c r="C46" s="157"/>
      <c r="D46" s="157"/>
      <c r="E46" s="157"/>
      <c r="F46" s="157"/>
      <c r="G46" s="157"/>
      <c r="H46" s="107">
        <f>SUM(H47:H54)</f>
        <v>2729270.6625000001</v>
      </c>
      <c r="I46" s="107">
        <f>SUM(I47:I54)</f>
        <v>909756.88750000007</v>
      </c>
      <c r="J46" s="108">
        <f>H46/(H46+I46)</f>
        <v>0.75</v>
      </c>
      <c r="K46" s="109">
        <f>SUM(K47:K54)</f>
        <v>0</v>
      </c>
      <c r="L46" s="109">
        <f>SUM(L47:L54)</f>
        <v>0</v>
      </c>
      <c r="M46" s="110">
        <f>SUM(M47:M54)</f>
        <v>0</v>
      </c>
      <c r="N46" s="111">
        <f>SUM(N47:N54)</f>
        <v>3639027.5500000003</v>
      </c>
      <c r="O46" s="110"/>
      <c r="P46" s="110"/>
      <c r="Q46" s="48"/>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74">
        <f t="shared" ref="AS46:AZ46" si="3">SUM(AS47:AS54)</f>
        <v>0</v>
      </c>
      <c r="AT46" s="74">
        <f t="shared" si="3"/>
        <v>14</v>
      </c>
      <c r="AU46" s="74">
        <f t="shared" si="3"/>
        <v>70</v>
      </c>
      <c r="AV46" s="74">
        <f t="shared" si="3"/>
        <v>0</v>
      </c>
      <c r="AW46" s="74">
        <f t="shared" si="3"/>
        <v>120</v>
      </c>
      <c r="AX46" s="74">
        <f t="shared" si="3"/>
        <v>435</v>
      </c>
      <c r="AY46" s="74">
        <f t="shared" si="3"/>
        <v>900</v>
      </c>
      <c r="AZ46" s="74">
        <f t="shared" si="3"/>
        <v>592</v>
      </c>
      <c r="BA46" s="49"/>
      <c r="BB46" s="49"/>
      <c r="BC46" s="50"/>
    </row>
    <row r="47" spans="1:55" ht="30" x14ac:dyDescent="0.25">
      <c r="A47" s="43">
        <v>3</v>
      </c>
      <c r="B47" s="153" t="s">
        <v>232</v>
      </c>
      <c r="C47" s="154" t="s">
        <v>233</v>
      </c>
      <c r="D47" s="153" t="s">
        <v>74</v>
      </c>
      <c r="E47" s="153" t="s">
        <v>234</v>
      </c>
      <c r="F47" s="153" t="s">
        <v>76</v>
      </c>
      <c r="G47" s="153" t="s">
        <v>77</v>
      </c>
      <c r="H47" s="158">
        <f>(N47+N48)*0.75</f>
        <v>742473.07499999995</v>
      </c>
      <c r="I47" s="158">
        <f>(N47+N48)*0.25</f>
        <v>247491.02499999999</v>
      </c>
      <c r="J47" s="159">
        <f>H47/(H47+I47)</f>
        <v>0.75</v>
      </c>
      <c r="K47" s="99" t="s">
        <v>281</v>
      </c>
      <c r="L47" s="103" t="s">
        <v>235</v>
      </c>
      <c r="M47" s="102" t="s">
        <v>167</v>
      </c>
      <c r="N47" s="124">
        <v>589964.1</v>
      </c>
      <c r="O47" s="102" t="s">
        <v>298</v>
      </c>
      <c r="P47" s="102" t="s">
        <v>236</v>
      </c>
      <c r="Q47" s="54" t="s">
        <v>237</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76"/>
      <c r="AT47" s="77">
        <v>14</v>
      </c>
      <c r="AU47" s="76"/>
      <c r="AV47" s="76"/>
      <c r="AW47" s="77">
        <v>120</v>
      </c>
      <c r="AX47" s="76"/>
      <c r="AY47" s="76"/>
      <c r="AZ47" s="76"/>
      <c r="BA47" s="56"/>
      <c r="BB47" s="56"/>
      <c r="BC47" s="61"/>
    </row>
    <row r="48" spans="1:55" ht="30" x14ac:dyDescent="0.25">
      <c r="A48" s="43">
        <v>3</v>
      </c>
      <c r="B48" s="153"/>
      <c r="C48" s="155"/>
      <c r="D48" s="153"/>
      <c r="E48" s="153"/>
      <c r="F48" s="153"/>
      <c r="G48" s="153"/>
      <c r="H48" s="158"/>
      <c r="I48" s="158"/>
      <c r="J48" s="159"/>
      <c r="K48" s="99" t="s">
        <v>281</v>
      </c>
      <c r="L48" s="125" t="s">
        <v>238</v>
      </c>
      <c r="M48" s="126" t="s">
        <v>121</v>
      </c>
      <c r="N48" s="124">
        <v>400000</v>
      </c>
      <c r="O48" s="102" t="s">
        <v>303</v>
      </c>
      <c r="P48" s="102" t="s">
        <v>239</v>
      </c>
      <c r="Q48" s="54" t="s">
        <v>237</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76"/>
      <c r="AT48" s="76"/>
      <c r="AU48" s="76"/>
      <c r="AV48" s="76"/>
      <c r="AW48" s="76"/>
      <c r="AX48" s="76"/>
      <c r="AY48" s="76"/>
      <c r="AZ48" s="76"/>
      <c r="BA48" s="56"/>
      <c r="BB48" s="56"/>
      <c r="BC48" s="61"/>
    </row>
    <row r="49" spans="1:55" ht="33.75" x14ac:dyDescent="0.25">
      <c r="A49" s="43">
        <v>3</v>
      </c>
      <c r="B49" s="153" t="s">
        <v>240</v>
      </c>
      <c r="C49" s="154" t="s">
        <v>241</v>
      </c>
      <c r="D49" s="153" t="s">
        <v>74</v>
      </c>
      <c r="E49" s="153" t="s">
        <v>92</v>
      </c>
      <c r="F49" s="153" t="s">
        <v>93</v>
      </c>
      <c r="G49" s="153" t="s">
        <v>77</v>
      </c>
      <c r="H49" s="160">
        <f>(N49+N50)*0.75</f>
        <v>224298.41999999998</v>
      </c>
      <c r="I49" s="160">
        <f>(N49+N50)*0.25</f>
        <v>74766.14</v>
      </c>
      <c r="J49" s="159">
        <f>H49/(H49+I49)</f>
        <v>0.75</v>
      </c>
      <c r="K49" s="99" t="s">
        <v>281</v>
      </c>
      <c r="L49" s="103" t="s">
        <v>242</v>
      </c>
      <c r="M49" s="102" t="s">
        <v>95</v>
      </c>
      <c r="N49" s="97">
        <v>109064.56</v>
      </c>
      <c r="O49" s="102" t="s">
        <v>293</v>
      </c>
      <c r="P49" s="102" t="s">
        <v>243</v>
      </c>
      <c r="Q49" s="54" t="s">
        <v>244</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76"/>
      <c r="AT49" s="76"/>
      <c r="AU49" s="76"/>
      <c r="AV49" s="76"/>
      <c r="AW49" s="76"/>
      <c r="AX49" s="76"/>
      <c r="AY49" s="76"/>
      <c r="AZ49" s="76"/>
      <c r="BA49" s="56"/>
      <c r="BB49" s="56"/>
      <c r="BC49" s="61"/>
    </row>
    <row r="50" spans="1:55" ht="56.25" x14ac:dyDescent="0.25">
      <c r="A50" s="43">
        <v>3</v>
      </c>
      <c r="B50" s="153"/>
      <c r="C50" s="156"/>
      <c r="D50" s="153"/>
      <c r="E50" s="153"/>
      <c r="F50" s="153"/>
      <c r="G50" s="153"/>
      <c r="H50" s="160"/>
      <c r="I50" s="160"/>
      <c r="J50" s="159"/>
      <c r="K50" s="99" t="s">
        <v>281</v>
      </c>
      <c r="L50" s="103" t="s">
        <v>242</v>
      </c>
      <c r="M50" s="102" t="s">
        <v>95</v>
      </c>
      <c r="N50" s="97">
        <v>190000</v>
      </c>
      <c r="O50" s="102" t="s">
        <v>306</v>
      </c>
      <c r="P50" s="102" t="s">
        <v>245</v>
      </c>
      <c r="Q50" s="54" t="s">
        <v>244</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76"/>
      <c r="AT50" s="76"/>
      <c r="AU50" s="76"/>
      <c r="AV50" s="76"/>
      <c r="AW50" s="76"/>
      <c r="AX50" s="76"/>
      <c r="AY50" s="76"/>
      <c r="AZ50" s="76"/>
      <c r="BA50" s="56"/>
      <c r="BB50" s="56"/>
      <c r="BC50" s="61"/>
    </row>
    <row r="51" spans="1:55" ht="45" x14ac:dyDescent="0.25">
      <c r="A51" s="43">
        <v>3</v>
      </c>
      <c r="B51" s="153" t="s">
        <v>246</v>
      </c>
      <c r="C51" s="154" t="s">
        <v>247</v>
      </c>
      <c r="D51" s="153" t="s">
        <v>74</v>
      </c>
      <c r="E51" s="153" t="s">
        <v>92</v>
      </c>
      <c r="F51" s="153" t="s">
        <v>93</v>
      </c>
      <c r="G51" s="153" t="s">
        <v>248</v>
      </c>
      <c r="H51" s="158">
        <f>(N51+N52)*0.75</f>
        <v>937500</v>
      </c>
      <c r="I51" s="158">
        <f>(N51+N52)*0.25</f>
        <v>312500</v>
      </c>
      <c r="J51" s="159">
        <f>H51/(H51+I51)</f>
        <v>0.75</v>
      </c>
      <c r="K51" s="99" t="s">
        <v>281</v>
      </c>
      <c r="L51" s="103" t="s">
        <v>249</v>
      </c>
      <c r="M51" s="102" t="s">
        <v>95</v>
      </c>
      <c r="N51" s="97">
        <v>850000</v>
      </c>
      <c r="O51" s="127" t="s">
        <v>302</v>
      </c>
      <c r="P51" s="127" t="s">
        <v>250</v>
      </c>
      <c r="Q51" s="54" t="s">
        <v>251</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76"/>
      <c r="AT51" s="76"/>
      <c r="AU51" s="77">
        <v>40</v>
      </c>
      <c r="AV51" s="76"/>
      <c r="AW51" s="76"/>
      <c r="AX51" s="77">
        <v>200</v>
      </c>
      <c r="AY51" s="76"/>
      <c r="AZ51" s="77">
        <v>200</v>
      </c>
      <c r="BA51" s="56"/>
      <c r="BB51" s="56"/>
      <c r="BC51" s="61"/>
    </row>
    <row r="52" spans="1:55" ht="45" x14ac:dyDescent="0.25">
      <c r="A52" s="43">
        <v>3</v>
      </c>
      <c r="B52" s="153"/>
      <c r="C52" s="155"/>
      <c r="D52" s="153"/>
      <c r="E52" s="153"/>
      <c r="F52" s="153"/>
      <c r="G52" s="153"/>
      <c r="H52" s="158"/>
      <c r="I52" s="158"/>
      <c r="J52" s="159"/>
      <c r="K52" s="99" t="s">
        <v>281</v>
      </c>
      <c r="L52" s="103" t="s">
        <v>249</v>
      </c>
      <c r="M52" s="126" t="s">
        <v>95</v>
      </c>
      <c r="N52" s="124">
        <v>400000</v>
      </c>
      <c r="O52" s="128" t="s">
        <v>312</v>
      </c>
      <c r="P52" s="128" t="s">
        <v>252</v>
      </c>
      <c r="Q52" s="54" t="s">
        <v>251</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76"/>
      <c r="AT52" s="76"/>
      <c r="AU52" s="77">
        <v>30</v>
      </c>
      <c r="AV52" s="76"/>
      <c r="AW52" s="76"/>
      <c r="AX52" s="77">
        <v>160</v>
      </c>
      <c r="AY52" s="76"/>
      <c r="AZ52" s="77">
        <v>317</v>
      </c>
      <c r="BA52" s="56"/>
      <c r="BB52" s="56"/>
      <c r="BC52" s="61"/>
    </row>
    <row r="53" spans="1:55" ht="45" x14ac:dyDescent="0.25">
      <c r="A53" s="43">
        <v>3</v>
      </c>
      <c r="B53" s="153" t="s">
        <v>253</v>
      </c>
      <c r="C53" s="154" t="s">
        <v>254</v>
      </c>
      <c r="D53" s="153" t="s">
        <v>74</v>
      </c>
      <c r="E53" s="153" t="s">
        <v>255</v>
      </c>
      <c r="F53" s="153" t="s">
        <v>76</v>
      </c>
      <c r="G53" s="153" t="s">
        <v>256</v>
      </c>
      <c r="H53" s="160">
        <f>(N53+N54)*0.75</f>
        <v>824999.1675000001</v>
      </c>
      <c r="I53" s="160">
        <f>(N53+N54)*0.25</f>
        <v>274999.72250000003</v>
      </c>
      <c r="J53" s="159">
        <f>H53/(H53+I53)</f>
        <v>0.75</v>
      </c>
      <c r="K53" s="99" t="s">
        <v>281</v>
      </c>
      <c r="L53" s="103" t="s">
        <v>257</v>
      </c>
      <c r="M53" s="102" t="s">
        <v>167</v>
      </c>
      <c r="N53" s="124">
        <v>799998.89</v>
      </c>
      <c r="O53" s="102" t="s">
        <v>294</v>
      </c>
      <c r="P53" s="128" t="s">
        <v>258</v>
      </c>
      <c r="Q53" s="54" t="s">
        <v>259</v>
      </c>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76"/>
      <c r="AT53" s="76"/>
      <c r="AU53" s="76"/>
      <c r="AV53" s="76"/>
      <c r="AW53" s="76"/>
      <c r="AX53" s="77">
        <v>50</v>
      </c>
      <c r="AY53" s="77">
        <v>600</v>
      </c>
      <c r="AZ53" s="77">
        <v>50</v>
      </c>
      <c r="BA53" s="56"/>
      <c r="BB53" s="56"/>
      <c r="BC53" s="61"/>
    </row>
    <row r="54" spans="1:55" ht="60" x14ac:dyDescent="0.25">
      <c r="A54" s="43">
        <v>3</v>
      </c>
      <c r="B54" s="153"/>
      <c r="C54" s="155"/>
      <c r="D54" s="153"/>
      <c r="E54" s="153"/>
      <c r="F54" s="153"/>
      <c r="G54" s="153"/>
      <c r="H54" s="160"/>
      <c r="I54" s="160"/>
      <c r="J54" s="159"/>
      <c r="K54" s="99" t="s">
        <v>281</v>
      </c>
      <c r="L54" s="125" t="s">
        <v>260</v>
      </c>
      <c r="M54" s="102" t="s">
        <v>167</v>
      </c>
      <c r="N54" s="97">
        <v>300000</v>
      </c>
      <c r="O54" s="126" t="s">
        <v>307</v>
      </c>
      <c r="P54" s="128" t="s">
        <v>261</v>
      </c>
      <c r="Q54" s="54" t="s">
        <v>259</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76"/>
      <c r="AT54" s="76"/>
      <c r="AU54" s="76"/>
      <c r="AV54" s="76"/>
      <c r="AW54" s="76"/>
      <c r="AX54" s="77">
        <v>25</v>
      </c>
      <c r="AY54" s="77">
        <v>300</v>
      </c>
      <c r="AZ54" s="77">
        <v>25</v>
      </c>
      <c r="BA54" s="56"/>
      <c r="BB54" s="56"/>
      <c r="BC54" s="61"/>
    </row>
    <row r="55" spans="1:55" x14ac:dyDescent="0.25">
      <c r="A55" s="1">
        <v>4</v>
      </c>
      <c r="B55" s="157" t="s">
        <v>262</v>
      </c>
      <c r="C55" s="157"/>
      <c r="D55" s="157"/>
      <c r="E55" s="157"/>
      <c r="F55" s="157"/>
      <c r="G55" s="157"/>
      <c r="H55" s="107">
        <f>+H56</f>
        <v>752000</v>
      </c>
      <c r="I55" s="107"/>
      <c r="J55" s="108">
        <f>H55/(H55+I55)</f>
        <v>1</v>
      </c>
      <c r="K55" s="108"/>
      <c r="L55" s="129"/>
      <c r="M55" s="130"/>
      <c r="N55" s="111">
        <f>+N56</f>
        <v>752000</v>
      </c>
      <c r="O55" s="130"/>
      <c r="P55" s="130"/>
      <c r="Q55" s="78"/>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f>+BA56</f>
        <v>30</v>
      </c>
      <c r="BB55" s="49">
        <f>+BB56</f>
        <v>120</v>
      </c>
      <c r="BC55" s="50">
        <f>+BC56</f>
        <v>69</v>
      </c>
    </row>
    <row r="56" spans="1:55" ht="56.25" x14ac:dyDescent="0.25">
      <c r="A56" s="12">
        <v>4</v>
      </c>
      <c r="B56" s="33" t="s">
        <v>263</v>
      </c>
      <c r="C56" s="33" t="s">
        <v>264</v>
      </c>
      <c r="D56" s="33" t="s">
        <v>74</v>
      </c>
      <c r="E56" s="33" t="s">
        <v>265</v>
      </c>
      <c r="F56" s="33" t="s">
        <v>76</v>
      </c>
      <c r="G56" s="33" t="s">
        <v>77</v>
      </c>
      <c r="H56" s="122">
        <v>752000</v>
      </c>
      <c r="I56" s="131"/>
      <c r="J56" s="123">
        <f>H56/(H56+I56)</f>
        <v>1</v>
      </c>
      <c r="K56" s="99" t="s">
        <v>281</v>
      </c>
      <c r="L56" s="103" t="s">
        <v>266</v>
      </c>
      <c r="M56" s="102" t="s">
        <v>267</v>
      </c>
      <c r="N56" s="97">
        <f>H56</f>
        <v>752000</v>
      </c>
      <c r="O56" s="126" t="s">
        <v>308</v>
      </c>
      <c r="P56" s="126" t="s">
        <v>268</v>
      </c>
      <c r="Q56" s="54" t="s">
        <v>269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8">
        <v>30</v>
      </c>
      <c r="BB56" s="58">
        <v>120</v>
      </c>
      <c r="BC56" s="80">
        <v>69</v>
      </c>
    </row>
    <row r="57" spans="1:55" x14ac:dyDescent="0.25">
      <c r="A57" s="43">
        <v>5</v>
      </c>
      <c r="B57" s="150" t="s">
        <v>270</v>
      </c>
      <c r="C57" s="151"/>
      <c r="D57" s="151"/>
      <c r="E57" s="151"/>
      <c r="F57" s="151"/>
      <c r="G57" s="152"/>
      <c r="H57" s="45">
        <f>SUM(H58:H62)</f>
        <v>3979348.7305399999</v>
      </c>
      <c r="I57" s="45"/>
      <c r="J57" s="67">
        <f>AVERAGE(J58:J62)</f>
        <v>1</v>
      </c>
      <c r="K57" s="46"/>
      <c r="L57" s="46"/>
      <c r="M57" s="48"/>
      <c r="N57" s="47">
        <f>SUM(N58:N62)</f>
        <v>3979348.7305399999</v>
      </c>
      <c r="O57" s="48"/>
      <c r="P57" s="48"/>
      <c r="Q57" s="48"/>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81"/>
      <c r="AT57" s="81"/>
      <c r="AU57" s="81"/>
      <c r="AV57" s="81"/>
      <c r="AW57" s="81"/>
      <c r="AX57" s="81"/>
      <c r="AY57" s="81"/>
      <c r="AZ57" s="81"/>
      <c r="BA57" s="49"/>
      <c r="BB57" s="49"/>
      <c r="BC57" s="50"/>
    </row>
    <row r="58" spans="1:55" ht="22.5" x14ac:dyDescent="0.25">
      <c r="A58" s="43">
        <v>5</v>
      </c>
      <c r="B58" s="153" t="s">
        <v>271</v>
      </c>
      <c r="C58" s="153" t="s">
        <v>272</v>
      </c>
      <c r="D58" s="153" t="s">
        <v>74</v>
      </c>
      <c r="E58" s="153" t="s">
        <v>273</v>
      </c>
      <c r="F58" s="154" t="s">
        <v>76</v>
      </c>
      <c r="G58" s="154" t="s">
        <v>77</v>
      </c>
      <c r="H58" s="135">
        <f>SUM(N58:N61)</f>
        <v>2269631.2400000002</v>
      </c>
      <c r="I58" s="138"/>
      <c r="J58" s="138">
        <f>H58/(H58+I58)</f>
        <v>1</v>
      </c>
      <c r="K58" s="141" t="s">
        <v>281</v>
      </c>
      <c r="L58" s="144" t="s">
        <v>274</v>
      </c>
      <c r="M58" s="147"/>
      <c r="N58" s="82">
        <v>400000</v>
      </c>
      <c r="O58" s="69"/>
      <c r="P58" s="69"/>
      <c r="Q58" s="83" t="s">
        <v>275</v>
      </c>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row>
    <row r="59" spans="1:55" ht="33.75" x14ac:dyDescent="0.25">
      <c r="A59" s="43">
        <v>5</v>
      </c>
      <c r="B59" s="153"/>
      <c r="C59" s="153"/>
      <c r="D59" s="153"/>
      <c r="E59" s="153"/>
      <c r="F59" s="155"/>
      <c r="G59" s="155"/>
      <c r="H59" s="136"/>
      <c r="I59" s="139"/>
      <c r="J59" s="139"/>
      <c r="K59" s="142"/>
      <c r="L59" s="145"/>
      <c r="M59" s="148"/>
      <c r="N59" s="82">
        <v>1455496</v>
      </c>
      <c r="O59" s="69"/>
      <c r="P59" s="69"/>
      <c r="Q59" s="83" t="s">
        <v>276</v>
      </c>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row>
    <row r="60" spans="1:55" ht="33.75" x14ac:dyDescent="0.25">
      <c r="A60" s="43">
        <v>5</v>
      </c>
      <c r="B60" s="153"/>
      <c r="C60" s="153"/>
      <c r="D60" s="153"/>
      <c r="E60" s="153"/>
      <c r="F60" s="155"/>
      <c r="G60" s="155"/>
      <c r="H60" s="136"/>
      <c r="I60" s="139"/>
      <c r="J60" s="139"/>
      <c r="K60" s="142"/>
      <c r="L60" s="145"/>
      <c r="M60" s="148"/>
      <c r="N60" s="82">
        <v>214135.24</v>
      </c>
      <c r="O60" s="69"/>
      <c r="P60" s="69"/>
      <c r="Q60" s="83" t="s">
        <v>277</v>
      </c>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row>
    <row r="61" spans="1:55" ht="22.5" x14ac:dyDescent="0.25">
      <c r="A61" s="43">
        <v>5</v>
      </c>
      <c r="B61" s="153"/>
      <c r="C61" s="153"/>
      <c r="D61" s="153"/>
      <c r="E61" s="153"/>
      <c r="F61" s="156"/>
      <c r="G61" s="156"/>
      <c r="H61" s="137"/>
      <c r="I61" s="140"/>
      <c r="J61" s="140"/>
      <c r="K61" s="143"/>
      <c r="L61" s="146"/>
      <c r="M61" s="149"/>
      <c r="N61" s="82">
        <v>200000</v>
      </c>
      <c r="O61" s="69"/>
      <c r="P61" s="69"/>
      <c r="Q61" s="83" t="s">
        <v>278</v>
      </c>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row>
    <row r="62" spans="1:55" ht="59.25" customHeight="1" x14ac:dyDescent="0.25">
      <c r="A62" s="12">
        <v>5</v>
      </c>
      <c r="B62" s="153"/>
      <c r="C62" s="153"/>
      <c r="D62" s="33" t="s">
        <v>74</v>
      </c>
      <c r="E62" s="33" t="s">
        <v>273</v>
      </c>
      <c r="F62" s="33" t="s">
        <v>76</v>
      </c>
      <c r="G62" s="33" t="s">
        <v>77</v>
      </c>
      <c r="H62" s="79">
        <v>1709717.4905399999</v>
      </c>
      <c r="I62" s="85"/>
      <c r="J62" s="85">
        <f>H62/(H62+I62)</f>
        <v>1</v>
      </c>
      <c r="K62" s="53" t="s">
        <v>280</v>
      </c>
      <c r="L62" s="75" t="s">
        <v>274</v>
      </c>
      <c r="M62" s="69"/>
      <c r="N62" s="82">
        <v>1709717.4905399999</v>
      </c>
      <c r="O62" s="69"/>
      <c r="P62" s="69"/>
      <c r="Q62" s="83" t="s">
        <v>276</v>
      </c>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row>
  </sheetData>
  <autoFilter ref="A3:BC3" xr:uid="{00000000-0001-0000-0000-000000000000}"/>
  <mergeCells count="144">
    <mergeCell ref="BA2:BC2"/>
    <mergeCell ref="Q3:Q4"/>
    <mergeCell ref="B7:G7"/>
    <mergeCell ref="B10:B11"/>
    <mergeCell ref="B12:B13"/>
    <mergeCell ref="C12:C13"/>
    <mergeCell ref="A1:A2"/>
    <mergeCell ref="L1:O1"/>
    <mergeCell ref="Q1:Q2"/>
    <mergeCell ref="L2:O2"/>
    <mergeCell ref="AE2:AR2"/>
    <mergeCell ref="AS2:AZ2"/>
    <mergeCell ref="V14:V15"/>
    <mergeCell ref="W14:W15"/>
    <mergeCell ref="X14:X15"/>
    <mergeCell ref="Y14:Y15"/>
    <mergeCell ref="Z14:Z15"/>
    <mergeCell ref="AA14:AA15"/>
    <mergeCell ref="B14:B15"/>
    <mergeCell ref="C14:C15"/>
    <mergeCell ref="R14:R15"/>
    <mergeCell ref="S14:S15"/>
    <mergeCell ref="T14:T15"/>
    <mergeCell ref="U14:U15"/>
    <mergeCell ref="AK14:AK15"/>
    <mergeCell ref="AL14:AL15"/>
    <mergeCell ref="AM14:AM15"/>
    <mergeCell ref="AB14:AB15"/>
    <mergeCell ref="AC14:AC15"/>
    <mergeCell ref="AD14:AD15"/>
    <mergeCell ref="AE14:AE15"/>
    <mergeCell ref="AF14:AF15"/>
    <mergeCell ref="AG14:AG15"/>
    <mergeCell ref="AZ14:AZ15"/>
    <mergeCell ref="BA14:BA15"/>
    <mergeCell ref="BB14:BB15"/>
    <mergeCell ref="BC14:BC15"/>
    <mergeCell ref="B20:B21"/>
    <mergeCell ref="C20:C21"/>
    <mergeCell ref="D20:D21"/>
    <mergeCell ref="E20:E21"/>
    <mergeCell ref="F20:F21"/>
    <mergeCell ref="AT14:AT15"/>
    <mergeCell ref="AU14:AU15"/>
    <mergeCell ref="AV14:AV15"/>
    <mergeCell ref="AW14:AW15"/>
    <mergeCell ref="AX14:AX15"/>
    <mergeCell ref="AY14:AY15"/>
    <mergeCell ref="AN14:AN15"/>
    <mergeCell ref="AO14:AO15"/>
    <mergeCell ref="AP14:AP15"/>
    <mergeCell ref="AQ14:AQ15"/>
    <mergeCell ref="AR14:AR15"/>
    <mergeCell ref="AS14:AS15"/>
    <mergeCell ref="AH14:AH15"/>
    <mergeCell ref="AI14:AI15"/>
    <mergeCell ref="AJ14:AJ15"/>
    <mergeCell ref="H28:H29"/>
    <mergeCell ref="I28:I29"/>
    <mergeCell ref="J28:J29"/>
    <mergeCell ref="E30:E31"/>
    <mergeCell ref="F30:F31"/>
    <mergeCell ref="G30:G31"/>
    <mergeCell ref="G20:G21"/>
    <mergeCell ref="B25:G25"/>
    <mergeCell ref="B28:B31"/>
    <mergeCell ref="C28:C31"/>
    <mergeCell ref="D28:D29"/>
    <mergeCell ref="E28:E29"/>
    <mergeCell ref="F28:F29"/>
    <mergeCell ref="G28:G29"/>
    <mergeCell ref="I34:I36"/>
    <mergeCell ref="B46:G46"/>
    <mergeCell ref="I43:I44"/>
    <mergeCell ref="J43:J44"/>
    <mergeCell ref="J34:J36"/>
    <mergeCell ref="B39:B40"/>
    <mergeCell ref="C39:C40"/>
    <mergeCell ref="B34:B37"/>
    <mergeCell ref="C34:C37"/>
    <mergeCell ref="D34:D36"/>
    <mergeCell ref="E34:E36"/>
    <mergeCell ref="F34:F36"/>
    <mergeCell ref="B41:B42"/>
    <mergeCell ref="C41:C42"/>
    <mergeCell ref="F43:F44"/>
    <mergeCell ref="G43:G44"/>
    <mergeCell ref="H43:H44"/>
    <mergeCell ref="B43:B44"/>
    <mergeCell ref="C43:C44"/>
    <mergeCell ref="D43:D44"/>
    <mergeCell ref="E43:E44"/>
    <mergeCell ref="G34:G36"/>
    <mergeCell ref="H34:H36"/>
    <mergeCell ref="I47:I48"/>
    <mergeCell ref="J47:J48"/>
    <mergeCell ref="B49:B50"/>
    <mergeCell ref="C49:C50"/>
    <mergeCell ref="D49:D50"/>
    <mergeCell ref="E49:E50"/>
    <mergeCell ref="F49:F50"/>
    <mergeCell ref="G49:G50"/>
    <mergeCell ref="H49:H50"/>
    <mergeCell ref="I49:I50"/>
    <mergeCell ref="J49:J50"/>
    <mergeCell ref="B47:B48"/>
    <mergeCell ref="C47:C48"/>
    <mergeCell ref="D47:D48"/>
    <mergeCell ref="E47:E48"/>
    <mergeCell ref="F47:F48"/>
    <mergeCell ref="G47:G48"/>
    <mergeCell ref="H47:H48"/>
    <mergeCell ref="B51:B52"/>
    <mergeCell ref="C51:C52"/>
    <mergeCell ref="D51:D52"/>
    <mergeCell ref="E51:E52"/>
    <mergeCell ref="F51:F52"/>
    <mergeCell ref="G51:G52"/>
    <mergeCell ref="G53:G54"/>
    <mergeCell ref="H53:H54"/>
    <mergeCell ref="I53:I54"/>
    <mergeCell ref="J53:J54"/>
    <mergeCell ref="B55:G55"/>
    <mergeCell ref="H51:H52"/>
    <mergeCell ref="I51:I52"/>
    <mergeCell ref="J51:J52"/>
    <mergeCell ref="B53:B54"/>
    <mergeCell ref="C53:C54"/>
    <mergeCell ref="D53:D54"/>
    <mergeCell ref="E53:E54"/>
    <mergeCell ref="F53:F54"/>
    <mergeCell ref="H58:H61"/>
    <mergeCell ref="I58:I61"/>
    <mergeCell ref="J58:J61"/>
    <mergeCell ref="K58:K61"/>
    <mergeCell ref="L58:L61"/>
    <mergeCell ref="M58:M61"/>
    <mergeCell ref="B57:G57"/>
    <mergeCell ref="B58:B62"/>
    <mergeCell ref="C58:C62"/>
    <mergeCell ref="D58:D61"/>
    <mergeCell ref="E58:E61"/>
    <mergeCell ref="F58:F61"/>
    <mergeCell ref="G58:G61"/>
  </mergeCells>
  <dataValidations count="1">
    <dataValidation type="textLength" operator="lessThanOrEqual" allowBlank="1" showInputMessage="1" showErrorMessage="1" errorTitle="Viršytas ilgis" error="Šią reikšmę turi sudaryti 100 arba mažiau simbolių." promptTitle="Tekstas" prompt="Didžiausias ilgis: 100 simbol." sqref="P53:P54" xr:uid="{64CEAEFC-98E7-481E-954F-7C91E5493FBC}">
      <formula1>100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Justina Žutautaitė</dc:creator>
  <cp:lastModifiedBy>Justina Žutautaitė</cp:lastModifiedBy>
  <dcterms:created xsi:type="dcterms:W3CDTF">2015-06-05T18:17:20Z</dcterms:created>
  <dcterms:modified xsi:type="dcterms:W3CDTF">2026-09-30T08:29:26Z</dcterms:modified>
</cp:coreProperties>
</file>