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defaultThemeVersion="166925"/>
  <mc:AlternateContent xmlns:mc="http://schemas.openxmlformats.org/markup-compatibility/2006">
    <mc:Choice Requires="x15">
      <x15ac:absPath xmlns:x15ac="http://schemas.microsoft.com/office/spreadsheetml/2010/11/ac" url="https://sadmlt-my.sharepoint.com/personal/justina_zutautaite_socmin_lt/Documents/"/>
    </mc:Choice>
  </mc:AlternateContent>
  <xr:revisionPtr revIDLastSave="0" documentId="8_{A175F9A1-822D-4FCA-BFF9-189E01ABBEF1}" xr6:coauthVersionLast="47" xr6:coauthVersionMax="47" xr10:uidLastSave="{00000000-0000-0000-0000-000000000000}"/>
  <bookViews>
    <workbookView xWindow="-28920" yWindow="-30" windowWidth="29040" windowHeight="15720" xr2:uid="{0D933A89-8B59-4B61-8A37-EC6DFFF3CAE8}"/>
  </bookViews>
  <sheets>
    <sheet name="Kvietimų planas" sheetId="14" r:id="rId1"/>
    <sheet name="PMIF programos asignavimai " sheetId="16" r:id="rId2"/>
  </sheets>
  <definedNames>
    <definedName name="_xlnm._FilterDatabase" localSheetId="0" hidden="1">'Kvietimų planas'!$A$3:$BC$69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14" l="1"/>
  <c r="M60" i="14"/>
  <c r="H60" i="14"/>
  <c r="BB60" i="14"/>
  <c r="BC60" i="14"/>
  <c r="BA60" i="14"/>
  <c r="G60" i="14" l="1"/>
  <c r="I60" i="14" s="1"/>
  <c r="I61" i="14"/>
  <c r="S36" i="14" l="1"/>
  <c r="S40" i="14"/>
  <c r="G18" i="14"/>
  <c r="H18" i="14" s="1"/>
  <c r="G57" i="14"/>
  <c r="H57" i="14" s="1"/>
  <c r="G49" i="14"/>
  <c r="H49" i="14" s="1"/>
  <c r="H53" i="14"/>
  <c r="G53" i="14"/>
  <c r="AZ56" i="14"/>
  <c r="AX56" i="14"/>
  <c r="AU56" i="14"/>
  <c r="M56" i="14"/>
  <c r="M48" i="14" s="1"/>
  <c r="G47" i="14"/>
  <c r="H47" i="14" s="1"/>
  <c r="G45" i="14"/>
  <c r="H45" i="14" s="1"/>
  <c r="M46" i="14"/>
  <c r="G46" i="14" s="1"/>
  <c r="G39" i="14"/>
  <c r="H39" i="14" s="1"/>
  <c r="G42" i="14"/>
  <c r="H42" i="14" s="1"/>
  <c r="AA42" i="14"/>
  <c r="Z42" i="14"/>
  <c r="H44" i="14"/>
  <c r="G44" i="14"/>
  <c r="Q40" i="14"/>
  <c r="T40" i="14" s="1"/>
  <c r="Z41" i="14"/>
  <c r="AA41" i="14"/>
  <c r="J48" i="14"/>
  <c r="K48" i="14"/>
  <c r="L48" i="14"/>
  <c r="R38" i="14"/>
  <c r="Q38" i="14"/>
  <c r="M38" i="14"/>
  <c r="AT36" i="14"/>
  <c r="T36" i="14"/>
  <c r="Q36" i="14"/>
  <c r="H13" i="14"/>
  <c r="G13" i="14"/>
  <c r="G55" i="14" l="1"/>
  <c r="H55" i="14" s="1"/>
  <c r="H46" i="14"/>
  <c r="I13" i="14"/>
  <c r="G11" i="14"/>
  <c r="Q7" i="14" l="1"/>
  <c r="R7" i="14"/>
  <c r="T7" i="14"/>
  <c r="U7" i="14"/>
  <c r="V7" i="14"/>
  <c r="W7" i="14"/>
  <c r="X7" i="14"/>
  <c r="Y7" i="14"/>
  <c r="Z7" i="14"/>
  <c r="AA7" i="14"/>
  <c r="AB7" i="14"/>
  <c r="AC7" i="14"/>
  <c r="AD7" i="14"/>
  <c r="AE7" i="14"/>
  <c r="AG7" i="14"/>
  <c r="AH7" i="14"/>
  <c r="AI7" i="14"/>
  <c r="AJ7" i="14"/>
  <c r="AK7" i="14"/>
  <c r="AL7" i="14"/>
  <c r="AM7" i="14"/>
  <c r="AN7" i="14"/>
  <c r="AQ7" i="14"/>
  <c r="AR7" i="14"/>
  <c r="G8" i="14"/>
  <c r="H8" i="14"/>
  <c r="AP8" i="14"/>
  <c r="I10" i="14"/>
  <c r="H11" i="14"/>
  <c r="G12" i="14"/>
  <c r="H12" i="14"/>
  <c r="I14" i="14"/>
  <c r="G15" i="14"/>
  <c r="H15" i="14"/>
  <c r="I17" i="14"/>
  <c r="AP19" i="14"/>
  <c r="AP7" i="14" s="1"/>
  <c r="I20" i="14"/>
  <c r="M20" i="14"/>
  <c r="M7" i="14" s="1"/>
  <c r="I22" i="14"/>
  <c r="G24" i="14"/>
  <c r="H24" i="14"/>
  <c r="G25" i="14"/>
  <c r="H25" i="14"/>
  <c r="G26" i="14"/>
  <c r="H26" i="14"/>
  <c r="J27" i="14"/>
  <c r="K27" i="14"/>
  <c r="L27" i="14"/>
  <c r="N27" i="14"/>
  <c r="O27" i="14"/>
  <c r="I30" i="14"/>
  <c r="G32" i="14"/>
  <c r="H32" i="14"/>
  <c r="G33" i="14"/>
  <c r="H33" i="14"/>
  <c r="G34" i="14"/>
  <c r="H34" i="14" s="1"/>
  <c r="I35" i="14"/>
  <c r="M35" i="14"/>
  <c r="M37" i="14"/>
  <c r="Q37" i="14"/>
  <c r="I40" i="14"/>
  <c r="I43" i="14"/>
  <c r="AS48" i="14"/>
  <c r="AT48" i="14"/>
  <c r="AU48" i="14"/>
  <c r="AV48" i="14"/>
  <c r="AW48" i="14"/>
  <c r="AX48" i="14"/>
  <c r="AY48" i="14"/>
  <c r="AZ48" i="14"/>
  <c r="M27" i="14" l="1"/>
  <c r="H7" i="14"/>
  <c r="G36" i="14"/>
  <c r="H36" i="14"/>
  <c r="H27" i="14" s="1"/>
  <c r="G27" i="14"/>
  <c r="I55" i="14"/>
  <c r="I53" i="14"/>
  <c r="I49" i="14"/>
  <c r="AO19" i="14"/>
  <c r="AO7" i="14" s="1"/>
  <c r="H48" i="14"/>
  <c r="G48" i="14"/>
  <c r="H63" i="14" l="1"/>
  <c r="I48" i="14"/>
  <c r="I27" i="14"/>
  <c r="G7" i="14" l="1"/>
  <c r="G63" i="14" s="1"/>
  <c r="I7" i="14" l="1"/>
  <c r="AC27" i="14"/>
  <c r="AD27" i="14"/>
  <c r="AA27" i="14" l="1"/>
  <c r="AB27" i="14"/>
  <c r="Y27" i="14" l="1"/>
  <c r="Z27" i="14"/>
  <c r="W27" i="14" l="1"/>
  <c r="X27" i="14"/>
  <c r="U27" i="14" l="1"/>
  <c r="V27" i="14"/>
  <c r="R27" i="14" l="1"/>
  <c r="T27" i="14"/>
  <c r="Q27" i="14" l="1"/>
</calcChain>
</file>

<file path=xl/sharedStrings.xml><?xml version="1.0" encoding="utf-8"?>
<sst xmlns="http://schemas.openxmlformats.org/spreadsheetml/2006/main" count="662" uniqueCount="285">
  <si>
    <t>Pažangos priemonė Nr. 09-003-02-02-07 „Plėtoti užsieniečių integracijos sistemą“</t>
  </si>
  <si>
    <t>2021-2027 m. PMIF programos</t>
  </si>
  <si>
    <t>Intervencijos kodas</t>
  </si>
  <si>
    <t>2021-2027 m. PMIF programos stebėsenos rodiklių siektinos reikšmės (pagal Konkretų tikslą, Europos Komisijos suteiktą rodiklio kodą, pavadinimą ir Pažangos proiemonės rodiklio kodą (jei yra))</t>
  </si>
  <si>
    <t xml:space="preserve">Kvietimai teikti paraiškas </t>
  </si>
  <si>
    <t xml:space="preserve">1 Konkretus tikslas </t>
  </si>
  <si>
    <t xml:space="preserve">2 konkretus tikslas </t>
  </si>
  <si>
    <t>3 konkretus tikslas</t>
  </si>
  <si>
    <t>4 konkretus tikslas</t>
  </si>
  <si>
    <t xml:space="preserve">Veikla
</t>
  </si>
  <si>
    <t>Veiklos tipas</t>
  </si>
  <si>
    <t>Galimi pareiškėjai</t>
  </si>
  <si>
    <t xml:space="preserve">Projektų atrankos būdas  </t>
  </si>
  <si>
    <t>Tiesiogiai prisidedama prie HP</t>
  </si>
  <si>
    <t>Finansavimo forma</t>
  </si>
  <si>
    <t>Skiriamos lėšos 
PMIF, ES</t>
  </si>
  <si>
    <t>Skiriamos lėšos 
PMIF, BF</t>
  </si>
  <si>
    <t>Finansavimo proporcija</t>
  </si>
  <si>
    <t>Finansavimo šaltinis</t>
  </si>
  <si>
    <t>Investicijų tikslas</t>
  </si>
  <si>
    <t>Atrankos būdas / pareiškėjas</t>
  </si>
  <si>
    <t>Planuojama kvietimo suma</t>
  </si>
  <si>
    <t>Planuojamas kvietimo paskelbimo mėnuo</t>
  </si>
  <si>
    <t>Planuojamas paraiškų teikimo terminas</t>
  </si>
  <si>
    <t>O.1.1 Tikslinei grupei priklausančių asmenų, kuriems teikiama parama priėmimo ir prieglobsčio sistemų srityje, skaičius 	
(P-09-003-02-02-07-05)</t>
  </si>
  <si>
    <t>O.1.1.1. iš jų teisinę pagalbą gavusių dalyvių skaičius (P-09-003-02-02-07-06)</t>
  </si>
  <si>
    <t>O.1.1.2 iš jų dalyvių, kuriems suteikta kitokio pobūdžio parama, įskaitant informaciją ir pagalbą prieglobsčio procedūros metu, skaičius (P-09-003-02-02-07-07)</t>
  </si>
  <si>
    <t>O.1.1.3 iš jų pažeidžiamų dalyvių, kuriems suteikta pagalba, skaičius (	P-09-003-02-02-07-08)</t>
  </si>
  <si>
    <t>O.1.2 Prieglobsčio srityje dirbančių asmenų, dalyvavusių mokymuose prieglobsčio srities temomis, skaičius (	P-09-003-02-02-07-09)</t>
  </si>
  <si>
    <t xml:space="preserve">	
O.1.3 Naujai sukurtų vietų priėmimo infrastruktūroje pagal Sąjungos acquis skaičius (P-09-003-02-02-07-26)</t>
  </si>
  <si>
    <t>P.1.3.1. &lt;...&gt;nelydimiems nepilnamečiams naujai sukurtų vietų skaičius</t>
  </si>
  <si>
    <t>O.1.4. Renovuotų ir (arba) atnaujintų vietų priėmimo infrastruktūroje pagal Sąjungos acquis skaičius (P-09-003-02-02-07-10)</t>
  </si>
  <si>
    <t>O.1.4.1. Iš jų renovuotų ir (arba) atnaujintų vietų nelydimiems nepilnamečiams skaičius (P-09-003-02-02-07-28)</t>
  </si>
  <si>
    <t>R.1.5. Prieglobsčio srityje dirbančių asmenų, baigusių dalyvavimą mokymuose prieglobsčio srities temomis ir manančių, kad mokymai yra naudingi jų darbui, skaičius (R-09-003-02-02-07-02)</t>
  </si>
  <si>
    <t>R.1.6. Dalyvių, kurie praėjus trims mėnesiams po mokymo veiklos praneša, kad naudojasi mokymo metu įgytais įgūdžiais ir kompetencijomis, skaičius (R-09-003-02-02-07-03)</t>
  </si>
  <si>
    <t>R.1.7. Asmenų, kurie buvo apgyvendinti patalpose, kuriomis naudojamasi kaip alternatyva sulaikymui, skaičius</t>
  </si>
  <si>
    <t>R.1.7.1 Nelydimų nepilnamečių, kurie buvo apgyvendinti patalpose, kuriomis naudojamasi kaip alternatyva sulaikymui, skaičius</t>
  </si>
  <si>
    <t xml:space="preserve"> R.1.7.2 Šeimos, kurios buvo apgyvendintos patalpose, kuriomis naudojamasi kaip alternatyva sulaikymui, skaičius</t>
  </si>
  <si>
    <t>O.2.1. Dalyvių, kurie buvo įtraukti į iki išvykimo taikomas priemones, skaičius</t>
  </si>
  <si>
    <t>O.2.2. Vietos ir regioninių valdžios institucijų, gaunančių paramą integracijos priemonėms, skaičius (	P-09-003-02-02-07-11)</t>
  </si>
  <si>
    <t>O.2.3. Paremtų asmenų skaičius (P-09-003-02-02-07-12)</t>
  </si>
  <si>
    <t>O.2.3.1 	kalbų kursų dalyvių skaičius (P-09-003-02-02-07-13)</t>
  </si>
  <si>
    <t>O.2.3.2. pilietinio orientavimosi kursų dalyvių skaičius (P-09-003-02-02-07-14)</t>
  </si>
  <si>
    <t>O.2.3.3. individualias profesines rekomendacijas gavusių asmenų skaičius (P-09-003-02-02-07-15)</t>
  </si>
  <si>
    <t>O.2.4 Informacinių paketų ir kampanijų, siekiant didinti informuotumą apie legalius migracijos į Europos Sąjungą kanalus, skaičius (P-09-003-02-02-07-16)</t>
  </si>
  <si>
    <t>O.2.5. Asmenų, gavusių informaciją ir (arba) pagalbą teikiant paraišką dėl šeimos susijungimo, skaičius (P-09-003-02-02-07-17)</t>
  </si>
  <si>
    <t>O.2.6. Asmenų, kurie naudojasi mobilumo programomis, skaičius</t>
  </si>
  <si>
    <t>O.2.7. Integracijos projektų, kurių pareiškėjai yra vietos ir regioninės valdžios institucijos, skaičius (P-09-003-02-02-07-18)</t>
  </si>
  <si>
    <t>R.2.8. Kalbų kursų dalyvių, kurie baigę kalbos kursus pagerino priimančiosios šalies kalbos mokėjimo lygį bent vienu Bendrųjų Europos kalbų metmenų arba lygiaverčiu nacionaliniu lygiu, skaičius (R-09-003-02-02-07-04)</t>
  </si>
  <si>
    <t>R.2.9. Dalyvių, kurie mano, kad dalyvavimas projekte padėjo jiems integracijos metu, skaičius (R-09-003-02-02-07-05)</t>
  </si>
  <si>
    <t xml:space="preserve">R.2.10. Dalyvių, kurie pateikė prašymus dėl trečiojoje valstybėje įgytos jų kvalifikacijos / įgūdžių pripažinimo / įvertinimo, skaičius </t>
  </si>
  <si>
    <t>R.2.11. Dalyvių, kurie pateikė prašymus dėl ilgalaikio gyventojo statuso, skaičius</t>
  </si>
  <si>
    <t>O.3.1. Grįžimo srityje dirbančių asmenų, dalyvavusių mokymų veiklose, skaičius (P-09-003-02-02-07-19)</t>
  </si>
  <si>
    <t>O.3.2. Įsigytų įrangos vienetų skaičius, įskaitant įsigytų arba atnaujintų Informacinių ir ryšių technologijų (IRT) infrastruktūros skaičius (P-09-003-02-02-07-20)</t>
  </si>
  <si>
    <t>O.3.3 Grįžtančiųjų, gavusių reintegracijos pagalbą, skaičius (P-09-003-02-02-07-27)</t>
  </si>
  <si>
    <t>O.3.4. Sulaikymo centruose sukurtų vietų skaičius</t>
  </si>
  <si>
    <t>O.3.5. Atnaujintų arba renovuotų vietų sulaikymo centruose skaičius (P-09-003-02-02-07-21)</t>
  </si>
  <si>
    <t>R.3.6. Savanoriškai grįžusių asmenų skaičius (R-09-003-02-02-07-06)</t>
  </si>
  <si>
    <t>R.3.7. Išsiųstų grąžinamų asmenų skaičius (R-09-003-02-02-07-07)</t>
  </si>
  <si>
    <t>R.3.8. Grįžtančiųjų, kuriems taikomos alternatyvios sulaikymui priemonės, skaičius (R-09-003-02-02-07-08)</t>
  </si>
  <si>
    <t>R.4.3. Tarptautinės apsaugos prašytojų ir asmenų, kuriems suteikta tarptautinė apsauga, perduotų iš vienos valstybės narės į kitą, skaičius (R-09-003-02-02-07-08)</t>
  </si>
  <si>
    <t>R.4.4. Perkeltų asmenų skaičius (R-09-003-02-02-07-10)</t>
  </si>
  <si>
    <t>R.4.5. Pagal humanitarinio priėmimo planą perkeltų asmenų skaičius (R-09-003-02-02-07-11)</t>
  </si>
  <si>
    <t xml:space="preserve">1. Užsieniečių integracijos sistemos EBPO valstybėse narėse analizė, siekiant pritaikyti gerąją praktiką Lietuvos užsieniečių integracijos sistemoje ir nustatyti valstybės ir savivaldybių institucijų bei įstaigų atsakomybes ir funkcijas </t>
  </si>
  <si>
    <t>A</t>
  </si>
  <si>
    <t>-</t>
  </si>
  <si>
    <t>Taip</t>
  </si>
  <si>
    <t>2. Teisės aktų tobulinimas, siekiant aiškiai nustatyti valstybės ir savivaldybių institucijų bei įstaigų funkcijas ir atsakomybes užsieniečių integracijos srityje</t>
  </si>
  <si>
    <t>R</t>
  </si>
  <si>
    <t>2(1). Teisės aktų tobulinimas, siekiant perkelti ES Migracijos ir prieglobsčio pakto reikalavimus į nacionalinę teisę</t>
  </si>
  <si>
    <t>2021-2027 m. PMIF programos 2 konkretus tikslas "Stiprinti ir plėtoti legalią migraciją į valstybes nares atsižvelgiant į jų ekonominius ir socialinius poreikius, taip pat skatinti veiksmingą trečiųjų valstybių piliečių integraciją bei socialinę įtrauktį ir prie jos prisidėti"</t>
  </si>
  <si>
    <t xml:space="preserve">2(2) Ankstyvosios integracijos priemonės </t>
  </si>
  <si>
    <t>I</t>
  </si>
  <si>
    <t>Priėmimo ir integracijos agentūra (toliau - PIIA)</t>
  </si>
  <si>
    <t>P</t>
  </si>
  <si>
    <t>D</t>
  </si>
  <si>
    <t>Konkretus veiksmas ("Pact and Ukraine")</t>
  </si>
  <si>
    <t xml:space="preserve">Ankstyvosios integracijos priemonės </t>
  </si>
  <si>
    <t>Valstybės planavimas</t>
  </si>
  <si>
    <t>2026 m. rugsėjis</t>
  </si>
  <si>
    <t>20 darbo dienų</t>
  </si>
  <si>
    <t>II.005 (Integracijos priemonės – pilietinis ugdymas ir kitoks mokymas)</t>
  </si>
  <si>
    <t>3. Užsieniečių integracijos stebėsenos ir analizės, koordinavimo sistemos Lietuvos Respublikoje sukūrimas</t>
  </si>
  <si>
    <t>SPPD</t>
  </si>
  <si>
    <t xml:space="preserve">Taip </t>
  </si>
  <si>
    <t xml:space="preserve">Įprasti veiksmai </t>
  </si>
  <si>
    <t>Užsieniečių integracijos stebėsenos ir analizės, koordinavimo sistemos Lietuvos Respublikoje sukūrimas</t>
  </si>
  <si>
    <t>Valstybės planavimas/ SPPD</t>
  </si>
  <si>
    <t>2024 m. birželis</t>
  </si>
  <si>
    <t xml:space="preserve">II.001.Integracijos strategijų plėtra </t>
  </si>
  <si>
    <t>4. Užsieniečiams paslaugas teikiančių asmenų kompetencijų, reikalingų pažeidžiamiems asmenims atpažinti ir paslaugoms jiems teikti, didinimas ir kvalifikacijos tobulinimas</t>
  </si>
  <si>
    <t>Viešieji ir privatieji juridiniai asmenys, tarptautinės organizacijos ar jų padaliniai, teisėtai veikiantys Lietuvos Respublikoje</t>
  </si>
  <si>
    <t>K</t>
  </si>
  <si>
    <t>Įprasti veiksmai</t>
  </si>
  <si>
    <t>Užsieniečiams paslaugas teikiančių asmenų kompetencijų, reikalingų pažeidžiamiems asmenims atpažinti ir paslaugoms jiems teikti, didinimas ir kvalifikacijos tobulinimas</t>
  </si>
  <si>
    <t>Projektų konkursas</t>
  </si>
  <si>
    <t xml:space="preserve">2024 m. kovas 
</t>
  </si>
  <si>
    <t xml:space="preserve">Viešieji ir privatieji juridiniai asmenys, tarptautinės organizacijos ar jų padaliniai, teisėtai veikiantys Lietuvos Respublikoje </t>
  </si>
  <si>
    <t xml:space="preserve">Sukurti akredituotą nuotolinio mokymo programą specialistams, dirbantiems sveikatos sektoriuje, siekiant didinti užsieniečių prieigą prie sveikatos paslaugų bei jų kokybę. </t>
  </si>
  <si>
    <t xml:space="preserve">2026 m. birželis
</t>
  </si>
  <si>
    <t xml:space="preserve">4 (1). Užsieniečių sociokultūrinių žinių didinimo ir psichikos sveikatos, psichosocialinės pagalbos teikimo užsieniečiams sąlygų gerinimas </t>
  </si>
  <si>
    <t>PIIA</t>
  </si>
  <si>
    <t>stiprinti sąlygas užsieniečiams gauti sociokultūrinių žinių apie Lietuvą bei gerinti sąlygas sisteminiam užsieniečiams skirtų psichikos sveikatos stiprinimo bei psichosocialinės pagalbos teikimo intervencijų plėtojimui.</t>
  </si>
  <si>
    <t>Valstybės planavimas/PIIA</t>
  </si>
  <si>
    <t>2025 m. birželis</t>
  </si>
  <si>
    <t>Sociokultūrinių žinių apie Lietuvą teikimas ir psichikos sveikatos stiprinimo bei psichosocialinės pagalbos teikimas</t>
  </si>
  <si>
    <t>Valstybės planavimas (PIIA)</t>
  </si>
  <si>
    <t xml:space="preserve">2027 m. sausis </t>
  </si>
  <si>
    <t>5. Užsieniečių integraciją skatinančios komunikacijos kampanijos, orientuotos į skirtingus tikslus (pvz., neteisėto darbo rizika, viešosios nuomonės keitimas), organizavimas</t>
  </si>
  <si>
    <t xml:space="preserve">	
Lietuvos migracijos politikos gairių, patvirtintų Lietuvos Respublikos Vyriausybės 2014 m. sausio 22 d. nutarimu Nr. 79 „Dėl Lietuvos migracijos politikos gairių patvirtinimo“, 6.2.5 papunktyje nurodytas subjektas</t>
  </si>
  <si>
    <t>Informacijos sklaida apie legalios migracijos kelius, nelegalios migracijos rizikas, nelegalaus darbo rizikas, darbuotojų ir darbdavių  teises ir pareigas</t>
  </si>
  <si>
    <t xml:space="preserve">2023 m. lapkritis  </t>
  </si>
  <si>
    <t>II. 006 Priimančioji visuomenė: supažindinimas, dalyvavimas ir mainai</t>
  </si>
  <si>
    <t>2025 m. lapkritis</t>
  </si>
  <si>
    <t>II.003 (Integravimo priemonės – informavimas ir orientavimas, vieno langelio principas)</t>
  </si>
  <si>
    <r>
      <rPr>
        <sz val="8"/>
        <color theme="1"/>
        <rFont val="Calibri"/>
        <family val="2"/>
        <charset val="186"/>
        <scheme val="minor"/>
      </rPr>
      <t>6.</t>
    </r>
    <r>
      <rPr>
        <strike/>
        <sz val="8"/>
        <color theme="1"/>
        <rFont val="Calibri"/>
        <family val="2"/>
        <charset val="186"/>
        <scheme val="minor"/>
      </rPr>
      <t xml:space="preserve"> </t>
    </r>
    <r>
      <rPr>
        <sz val="8"/>
        <color theme="1"/>
        <rFont val="Calibri"/>
        <family val="2"/>
        <charset val="186"/>
        <scheme val="minor"/>
      </rPr>
      <t>Medijų sektoriaus profesionalų gebėjimų stiprinimas siekiant geresnio visuomenės informavimo apie migracijos procesus</t>
    </r>
  </si>
  <si>
    <t>n/a</t>
  </si>
  <si>
    <r>
      <t xml:space="preserve"> </t>
    </r>
    <r>
      <rPr>
        <sz val="8"/>
        <color theme="1"/>
        <rFont val="Calibri"/>
        <family val="2"/>
        <charset val="186"/>
        <scheme val="minor"/>
      </rPr>
      <t>Medijų sektoriaus profesionalų gebėjimų stiprinimas siekiant geresnio visuomenės informavimo apie migracijos procesus</t>
    </r>
  </si>
  <si>
    <t>atidėta</t>
  </si>
  <si>
    <t xml:space="preserve"> I. 006 Priimančioji visuomenė: supažindinimas, dalyvavimas ir mainai</t>
  </si>
  <si>
    <t xml:space="preserve">7. Vertimo paslaugų centralizavimas </t>
  </si>
  <si>
    <t>Vertimo paslaugų centralizavimas</t>
  </si>
  <si>
    <t xml:space="preserve">2024 m. balandžio </t>
  </si>
  <si>
    <t>8. Lietuvių kalbos mokymo pritaikomumo ir prieinamumo didinimas</t>
  </si>
  <si>
    <t>Kultūros ministerija, Europos socialinio fondo agentūra</t>
  </si>
  <si>
    <t xml:space="preserve"> Lietuvių kalbos mokymo pritaikomumo ir prieinamumo didinimas (1)</t>
  </si>
  <si>
    <t xml:space="preserve">2026 m. kovas </t>
  </si>
  <si>
    <t>II.004 (Integracijos priemonės. Kalbų mokymas)</t>
  </si>
  <si>
    <t xml:space="preserve"> Lietuvių kalbos mokymo pritaikomumo ir prieinamumo didinimas (2)</t>
  </si>
  <si>
    <t xml:space="preserve">2026 m. balandis </t>
  </si>
  <si>
    <r>
      <t xml:space="preserve">9. </t>
    </r>
    <r>
      <rPr>
        <sz val="8"/>
        <color rgb="FF000000"/>
        <rFont val="Calibri"/>
        <family val="2"/>
        <charset val="186"/>
        <scheme val="minor"/>
      </rPr>
      <t xml:space="preserve">Paslaugų teikimas užsieniečiams: informavimas, konsultavimas, socialinės paslaugos, atvejo vadyba ir kt. </t>
    </r>
    <r>
      <rPr>
        <i/>
        <sz val="8"/>
        <color rgb="FF000000"/>
        <rFont val="Calibri"/>
        <family val="2"/>
        <charset val="186"/>
        <scheme val="minor"/>
      </rPr>
      <t>(</t>
    </r>
    <r>
      <rPr>
        <i/>
        <sz val="8"/>
        <color theme="1"/>
        <rFont val="Calibri"/>
        <family val="2"/>
        <charset val="186"/>
        <scheme val="minor"/>
      </rPr>
      <t>valstybės projektų planavimo būdu, papildant savivaldybių paslaugas)</t>
    </r>
  </si>
  <si>
    <t>Savivaldybių administracijos, savivaldybių valdomos įmonės, savivaldybės administravimo subjektai</t>
  </si>
  <si>
    <t>Integracijos paslaugos savivaldybėse</t>
  </si>
  <si>
    <t xml:space="preserve">2025 m. balandžio  </t>
  </si>
  <si>
    <t>40-60 darbo dienų</t>
  </si>
  <si>
    <t>9(1). Užsieniečių moterų ir vaikų specifinių kompetencijų kėlimas</t>
  </si>
  <si>
    <t>Šveicarijos-Lietuvos bendradarbiavimo programa</t>
  </si>
  <si>
    <r>
      <t xml:space="preserve">9(2). </t>
    </r>
    <r>
      <rPr>
        <sz val="8"/>
        <color rgb="FF000000"/>
        <rFont val="Calibri"/>
        <family val="2"/>
        <charset val="186"/>
        <scheme val="minor"/>
      </rPr>
      <t xml:space="preserve">Paslaugų teikimas užsieniečiams: informavimas, konsultavimas, socialinės paslaugos, atvejo vadyba ir kt. </t>
    </r>
    <r>
      <rPr>
        <i/>
        <sz val="8"/>
        <color rgb="FF000000"/>
        <rFont val="Calibri"/>
        <family val="2"/>
        <charset val="186"/>
        <scheme val="minor"/>
      </rPr>
      <t>(konkurso b</t>
    </r>
    <r>
      <rPr>
        <i/>
        <sz val="8"/>
        <color theme="1"/>
        <rFont val="Calibri"/>
        <family val="2"/>
        <charset val="186"/>
        <scheme val="minor"/>
      </rPr>
      <t>ūdu, papildant savivaldybių paslaugas)</t>
    </r>
  </si>
  <si>
    <t xml:space="preserve">2025 m. birželio  </t>
  </si>
  <si>
    <t>30 darbo dienų</t>
  </si>
  <si>
    <t>Paslaugų teikimas ir saugus būstas prekybos žmonėmis aukoms</t>
  </si>
  <si>
    <t xml:space="preserve">2025 m. rugpjūčio  </t>
  </si>
  <si>
    <t>II.002 (Prekybos žmonėmis aukos)</t>
  </si>
  <si>
    <t>9(3). Vaikų iš trečiųjų šalių įtraukties į švietimo sistemą stiprinimas</t>
  </si>
  <si>
    <t>Vaikų iš trečiųjų šalių įtraukties į švietimo sistemą stiprinimas</t>
  </si>
  <si>
    <t xml:space="preserve">2026 m. kovas
</t>
  </si>
  <si>
    <t>II.011 (Pažeidžiami asmenys, įskaitant nelydimus nepilnamečius)</t>
  </si>
  <si>
    <t>9(4). Ukrainiečiams skirtos reabilitacijos paslaugos</t>
  </si>
  <si>
    <t>Sveikatos apsaugos ministerija</t>
  </si>
  <si>
    <t>Ukrainiečiams skirtos reabilitacijos paslaugos</t>
  </si>
  <si>
    <t>2026 m. vasaris</t>
  </si>
  <si>
    <t>9(5.) Iš Ukrainos pasitraukusių asmenų ryšių su Ukraina palaikymas. Integracijos ir reintegracijos galimybių didinimas</t>
  </si>
  <si>
    <t>Vertinama</t>
  </si>
  <si>
    <t>Iš Ukrainos pasitraukusių asmenų ryšių su Ukraina palaikymas. Integracijos ir reintegracijos galimybių didinimas</t>
  </si>
  <si>
    <t>2021-2027 m. PMIF programos 1 konkretus tikslas "Stiprinti ir plėtoti visus bendros Europos prieglobsčio sistemos aspektus, įskaitant jos išorės aspektą"</t>
  </si>
  <si>
    <t>10. ES valstybėse narėse taikomų prieglobsčio prašytojų priėmimo sistemų analizės atlikimas (Europos Sąjungos Prieglobsčio agentūra)</t>
  </si>
  <si>
    <t>11. Lietuvos Respublikos įstatymo „Dėl užsieniečių teisinės padėties“ ir kitų teisės aktų pakeitimų projektų rengimas, siekiant sudaryti tinkamas sąlygas prieglobsčio prašytojams ir gavėjams Pabėgėlių priėmimo centre arba kitoje Lietuvos Respublikos Vyriausybės įgaliotoje institucijoje</t>
  </si>
  <si>
    <r>
      <t>12. Prieglobsčio prašytojų</t>
    </r>
    <r>
      <rPr>
        <sz val="8"/>
        <color rgb="FFFF0000"/>
        <rFont val="Calibri"/>
        <family val="2"/>
        <charset val="186"/>
        <scheme val="minor"/>
      </rPr>
      <t xml:space="preserve"> </t>
    </r>
    <r>
      <rPr>
        <sz val="8"/>
        <color theme="1"/>
        <rFont val="Calibri"/>
        <family val="2"/>
        <charset val="186"/>
        <scheme val="minor"/>
      </rPr>
      <t>priėmimo infrastruktūros atnaujinimas ir plėtra</t>
    </r>
  </si>
  <si>
    <r>
      <t>Valstybės sienos apsaugos tarnyba</t>
    </r>
    <r>
      <rPr>
        <sz val="8"/>
        <color theme="1"/>
        <rFont val="Calibri"/>
        <family val="2"/>
        <charset val="186"/>
        <scheme val="minor"/>
      </rPr>
      <t xml:space="preserve"> prie Lietuvos Respublikos vidaus reikalų ministerijos (toliau – VSAT)</t>
    </r>
    <r>
      <rPr>
        <sz val="8"/>
        <color rgb="FF000000"/>
        <rFont val="Calibri"/>
        <family val="2"/>
        <charset val="186"/>
        <scheme val="minor"/>
      </rPr>
      <t>, PIIA</t>
    </r>
  </si>
  <si>
    <t>Prieglobsčio prašytojų priėmimo infrastruktūros plėtra Valstybės sienos apsaugos tarnyboje</t>
  </si>
  <si>
    <t>Valstybės planavimas (VSAT)</t>
  </si>
  <si>
    <t xml:space="preserve">2023 m. rugpjūčio  </t>
  </si>
  <si>
    <t>I.001 (Priėmimo sąlygos)</t>
  </si>
  <si>
    <t>Prieglobsčio prašytojų priėmimo infrastruktūra. Pabėgėlių administravimo informacinės sistemos tobulinimas</t>
  </si>
  <si>
    <t xml:space="preserve">2024 m. kovas </t>
  </si>
  <si>
    <t xml:space="preserve"> PIIA</t>
  </si>
  <si>
    <t>Prieglobsčio prašytojų priėmimo infrastruktūros Priėmimo ir integracijos agentūroje  modernizavimas ir plėtra </t>
  </si>
  <si>
    <t>Priėmimo infrastruktūros palaikymas kritiniam teisėtos migracijos antplūdžiui suvaldyti</t>
  </si>
  <si>
    <t>2026 m. balandis</t>
  </si>
  <si>
    <t>12(1). Prieglobsčio procedūros veiksmingumo didinimas</t>
  </si>
  <si>
    <t>Migracijos departamentas</t>
  </si>
  <si>
    <t>Prieglobsčio procedūros veiksmingumo didinimas</t>
  </si>
  <si>
    <t>Valstybės planavimas (MD)</t>
  </si>
  <si>
    <t>I.002 (Prieglobsčio procedūros)</t>
  </si>
  <si>
    <t>12(2). Prieglobsčio prašytojų priėmimo infrastruktūros atnaujinimas ir plėtra</t>
  </si>
  <si>
    <t>VSAT, PIIA, SADM, Panevėžio miesto savivaldybės administracija, Jonavos rajono savivaldybės administracija</t>
  </si>
  <si>
    <t>Konkretus veiksmas "MS with borders under pressure"
2021-2027 m. PMIF programos 3 priedas</t>
  </si>
  <si>
    <t>Lietuvos priėmimo sistemos reforma</t>
  </si>
  <si>
    <t>Valstybės planavimas (VSAT, PIIA, SADM, Panevėžio miesto savivaldybės administracija, Jonavos rajono savivaldybės administracija)</t>
  </si>
  <si>
    <t xml:space="preserve">2024 m. lapkritis </t>
  </si>
  <si>
    <t>13. Materialinių sąlygų ir paslaugų teikimo užtikrinimas užsieniečiams</t>
  </si>
  <si>
    <t>VSAT, PIIA, MD, Lietuvos advokatūra</t>
  </si>
  <si>
    <t>Materialinių sąlygų ir paslaugų teikimo užtikrinimas užsieniečiams Priėmimo ir integracijos agentūros padaliniuose</t>
  </si>
  <si>
    <t xml:space="preserve">2024 m. gegužė </t>
  </si>
  <si>
    <t>Valstybės garantuojama teisinė pagalba prieglobsčio prašytojams</t>
  </si>
  <si>
    <t>Valstybės planavimas/MD</t>
  </si>
  <si>
    <t xml:space="preserve">2023 m. spalis </t>
  </si>
  <si>
    <t xml:space="preserve">2026 m. vasaris  </t>
  </si>
  <si>
    <t xml:space="preserve">Humanitarinė pagalba naujiems iš Ukrainos atvykstantiems asmenims </t>
  </si>
  <si>
    <t>2027 m. kovas</t>
  </si>
  <si>
    <t>13.(1) Materialinių sąlygų ir paslaugų teikimo užtikrinimas užsieniečiams</t>
  </si>
  <si>
    <t>Materialinių sąlygų ir paslaugų teikimo užtikrinimas užsieniečiams Vasltybės sienos apsaugos tarnybos padaliniuose</t>
  </si>
  <si>
    <t>14. Užsieniečių prieglobsčio ir priėmimo srityje dirbančių specialistų kompetencijų didinimas, gebėjimų stiprinimas</t>
  </si>
  <si>
    <t>Užsieniečių prieglobsčio ir priėmimo srityje dirbančių specialistų kompetencijų didinimas, gebėjimų stiprinimas</t>
  </si>
  <si>
    <t>2027 m. rugsėjis</t>
  </si>
  <si>
    <t>14(1). Teismų sistemos pajėgumų didinimas</t>
  </si>
  <si>
    <t>Nacionalinė teismų administracija</t>
  </si>
  <si>
    <t xml:space="preserve">Teismų sistemos pajėgumų stiprinimas </t>
  </si>
  <si>
    <t xml:space="preserve">2025 m. lapkritis
</t>
  </si>
  <si>
    <t>15. Privalomos užsieniečių priėmimo paslaugų teikimo stebėsenos vykdymas</t>
  </si>
  <si>
    <t xml:space="preserve"> Privalomos užsieniečių priėmimo paslaugų teikimo stebėsena</t>
  </si>
  <si>
    <t xml:space="preserve">2025 m. liepos  </t>
  </si>
  <si>
    <t>I.003 	
(Sąjungos acquis įgyvendinimas)</t>
  </si>
  <si>
    <t>15(1). Privalomos užsieniečių priėmimo paslaugų teikimo stebėsenos vykdymas ir nepriklausomas pagrindinių teisių stebėsenos mechanizmas</t>
  </si>
  <si>
    <t>Nepriklausoma pagrindinių teisių stebėsena</t>
  </si>
  <si>
    <t xml:space="preserve">2026 m. balandis
</t>
  </si>
  <si>
    <t>43 darbo dienos</t>
  </si>
  <si>
    <t xml:space="preserve">15(2). Užtikrinti geriausius vaiko interesus </t>
  </si>
  <si>
    <t xml:space="preserve">	
PIIA, Valstybės vaiko teisių apsaugos ir įvaikinimo tarnyba prie Socialinės apsaugos ir darbo ministerijos</t>
  </si>
  <si>
    <t>Užtikrinti geriausius vaiko interesus (1)</t>
  </si>
  <si>
    <t xml:space="preserve">2026 m. vasaris </t>
  </si>
  <si>
    <t>I.005 (Specialių priėmimo ir procedūrinių poreikių turintys asmenys)</t>
  </si>
  <si>
    <t xml:space="preserve">	
PIIA, Socialinės globos centras "Vija"</t>
  </si>
  <si>
    <t>Užtikrinti geriausius vaiko interesus (2)</t>
  </si>
  <si>
    <t>15(3). Prieglobsčio prašytojų galimybių naudotis sveikatos priežiūros paslaugomis gerinimas</t>
  </si>
  <si>
    <t>Prieglobsčio prašytojų galimybių naudotis sveikatos priežiūros paslaugomis gerinimas</t>
  </si>
  <si>
    <t>2021-2027 m. PMIF programos 3 konkretus tikslas "Prisidėti prie kovass su neteisėta migracija, stiprinant veiksmingą, saugų ir orumo nežeminantį grąžinimą ir readmisiją, taip pat prisidėti prie veiksmingos pradinės reintegracijos trečiosiose valstybėse ir ją skatinti"</t>
  </si>
  <si>
    <t>16.  Užsieniečių grąžinimo ir sulaikymo standartų laikymosi užtikrinimas</t>
  </si>
  <si>
    <t>VSAT, PIIA</t>
  </si>
  <si>
    <t>Sulaikymo infrastruktūros plėtra Užsieniečių registracijos centre</t>
  </si>
  <si>
    <t>III.002.Priėmimo ir (arba) sulaikymo sąlygos</t>
  </si>
  <si>
    <t>Paslaugų teikimas užsieniečiams sulaikymo centruose</t>
  </si>
  <si>
    <t xml:space="preserve">2025 m. spalis </t>
  </si>
  <si>
    <t>Kompetencijų kėlimas</t>
  </si>
  <si>
    <t>2026 m.  Lapkritis</t>
  </si>
  <si>
    <t>Užsieniečių sulaikymo alternatyvų tyrimas</t>
  </si>
  <si>
    <t>2026 m. lapkritis</t>
  </si>
  <si>
    <t>17. Priverstinio užsieniečių grąžinimo stebėsenos vykdymas</t>
  </si>
  <si>
    <t>Priverstinio užsieniečių grąžinimo stebėsenos vykdymas</t>
  </si>
  <si>
    <t xml:space="preserve">2024 m. vasaris  </t>
  </si>
  <si>
    <t>III.007.Priverstinio grąžinimo stebėsenos sistema</t>
  </si>
  <si>
    <t>2026 m. rugpjūtis</t>
  </si>
  <si>
    <t>18. Savanoriško užsieniečių grįžimo procedūrų ir reintegracijos organizavimas</t>
  </si>
  <si>
    <t xml:space="preserve">D   </t>
  </si>
  <si>
    <t>Savanoriško užsieniečių grįžimo procedūrų ir reintegracijos organizavimas</t>
  </si>
  <si>
    <t xml:space="preserve">2023 m. lapkritis </t>
  </si>
  <si>
    <t xml:space="preserve">III.004.Remiamas savanoriškas grįžimas </t>
  </si>
  <si>
    <r>
      <t xml:space="preserve">19. Užsieniečių priverstinio grąžinimo ir savanoriško grįžimo </t>
    </r>
    <r>
      <rPr>
        <i/>
        <sz val="8"/>
        <color theme="1"/>
        <rFont val="Calibri"/>
        <family val="2"/>
        <charset val="186"/>
        <scheme val="minor"/>
      </rPr>
      <t>(kai jis organizuojamas padedant ES institucijoms)</t>
    </r>
    <r>
      <rPr>
        <sz val="8"/>
        <color theme="1"/>
        <rFont val="Calibri"/>
        <family val="2"/>
        <charset val="186"/>
        <scheme val="minor"/>
      </rPr>
      <t xml:space="preserve"> procedūrų organizavimas  </t>
    </r>
  </si>
  <si>
    <t>VSAT</t>
  </si>
  <si>
    <t xml:space="preserve">D  </t>
  </si>
  <si>
    <t xml:space="preserve">Užsieniečių priverstinio grąžinimo ir savanoriško grįžimo procedūrų organizavimas  </t>
  </si>
  <si>
    <t>Valstybės planavimas/VSAT</t>
  </si>
  <si>
    <t xml:space="preserve">2024 m. vasaris </t>
  </si>
  <si>
    <t>III.006.Išsiuntimo ir (arba) grąžinimo operacijos</t>
  </si>
  <si>
    <t>Užsieniečių priverstinio grąžinimo ir savanoriško grįžimo procedūrų organizavimas  (Įskaitant pasienio procedūroje)</t>
  </si>
  <si>
    <t xml:space="preserve">2027 m. vasaris </t>
  </si>
  <si>
    <t xml:space="preserve">2028 m. vasaris </t>
  </si>
  <si>
    <t>2021-2027 m. PMIF programos 4 konkretus tikslas</t>
  </si>
  <si>
    <t>20. Solidarumo mechanizmo tarp ES valstybių narių ir trečiųjų šalių įgyvendinimas</t>
  </si>
  <si>
    <t>MD, VSAT, PIIA</t>
  </si>
  <si>
    <t>Solidarumo mechanizmo tarp ES valstybių narių ir trečiųjų šalių įgyvendinimas</t>
  </si>
  <si>
    <t>Valstybės planavimas/SADM</t>
  </si>
  <si>
    <t xml:space="preserve">2024 m. rugpjūčio </t>
  </si>
  <si>
    <t>IV.004.Humanitarinis priėmimas (19 straipsnis)</t>
  </si>
  <si>
    <t>Privalomo solidarumo mechanizmo tarp ES valstybių narių įgyvendinimas</t>
  </si>
  <si>
    <t>Valstybės planavimas/PIIA/MD/VSD</t>
  </si>
  <si>
    <t>2026 m. liepa</t>
  </si>
  <si>
    <t>IV.001. Perkėlimai į kitą valstybę narę (perkėlimas) (angl. relocation)</t>
  </si>
  <si>
    <t>Iš viso (veikloms įgyvendinti):</t>
  </si>
  <si>
    <t>Techninė parama</t>
  </si>
  <si>
    <t>PMIF 2021-2027 m. veiksmų programos asignavimai (4.2 versija)</t>
  </si>
  <si>
    <t>Konkretus tikslas KT</t>
  </si>
  <si>
    <t>Veiksmų rūšis</t>
  </si>
  <si>
    <t>Sąjungos paramos (visos arba viešosios) apskaičiavimo pagrindas</t>
  </si>
  <si>
    <t>Sąjungos įnašas a</t>
  </si>
  <si>
    <t>Nacionalinis įnašas - b=c+d</t>
  </si>
  <si>
    <t>Viešasis</t>
  </si>
  <si>
    <t>Privatusis</t>
  </si>
  <si>
    <t>Iš viso e=a+b</t>
  </si>
  <si>
    <t>Bendro finansavimo norma f=a/e</t>
  </si>
  <si>
    <t>1. BEPS</t>
  </si>
  <si>
    <t>Iš viso</t>
  </si>
  <si>
    <t>Konkretūs veiksmai</t>
  </si>
  <si>
    <t>Veiksmai pagal IV priedą</t>
  </si>
  <si>
    <t>Pact and Ukraine specific action</t>
  </si>
  <si>
    <t>Iš viso BEPS</t>
  </si>
  <si>
    <t xml:space="preserve"> </t>
  </si>
  <si>
    <t>2. Teisėta migracija ir integracija</t>
  </si>
  <si>
    <t>Iš viso Teisėta migracija ir integracija</t>
  </si>
  <si>
    <t>3. Grąžinti</t>
  </si>
  <si>
    <t>Iš viso Grąžinti</t>
  </si>
  <si>
    <t>4. Solidarumas</t>
  </si>
  <si>
    <t>Perkėlimas ir humanitarinis priėmimas</t>
  </si>
  <si>
    <t>Iš viso Solidarumas</t>
  </si>
  <si>
    <t>TA.36(5). Techninė pagalba – fiksuoto dydžio (BNR 36 straipsnio 5 dalis)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</si>
</sst>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_-"/>
    <numFmt numFmtId="165" formatCode="_-* #,##0.00_-;\-* #,##0.00_-;_-* &quot;-&quot;??_-;_-@_-"/>
    <numFmt numFmtId="166" formatCode="_-* #,##0_-;\-* #,##0_-;_-* &quot;-&quot;??_-;_-@_-"/>
    <numFmt numFmtId="167" formatCode="0.0000000000%"/>
    <numFmt numFmtId="168" formatCode="_-* #,##0.00\ _€_-;\-* #,##0.00\ _€_-;_-* &quot;-&quot;??\ _€_-;_-@_-"/>
  </numFmts>
  <fonts count="16">
    <font>
      <sz val="11"/>
      <color theme="1"/>
      <name val="Calibri"/>
      <family val="2"/>
      <charset val="186"/>
      <scheme val="minor"/>
    </font>
    <font>
      <sz val="11"/>
      <color theme="1"/>
      <name val="Calibri"/>
      <family val="2"/>
      <charset val="186"/>
      <scheme val="minor"/>
    </font>
    <font>
      <sz val="8"/>
      <name val="Calibri"/>
      <family val="2"/>
      <charset val="186"/>
      <scheme val="minor"/>
    </font>
    <font>
      <sz val="11"/>
      <color theme="1"/>
      <name val="Arial"/>
      <family val="2"/>
      <charset val="186"/>
    </font>
    <font>
      <b/>
      <sz val="8"/>
      <color rgb="FF000000"/>
      <name val="Calibri"/>
      <family val="2"/>
      <charset val="186"/>
      <scheme val="minor"/>
    </font>
    <font>
      <sz val="8"/>
      <color theme="1"/>
      <name val="Calibri"/>
      <family val="2"/>
      <charset val="186"/>
      <scheme val="minor"/>
    </font>
    <font>
      <sz val="8"/>
      <color rgb="FF000000"/>
      <name val="Calibri"/>
      <family val="2"/>
      <charset val="186"/>
      <scheme val="minor"/>
    </font>
    <font>
      <i/>
      <sz val="8"/>
      <color theme="1"/>
      <name val="Calibri"/>
      <family val="2"/>
      <charset val="186"/>
      <scheme val="minor"/>
    </font>
    <font>
      <i/>
      <sz val="8"/>
      <color rgb="FF000000"/>
      <name val="Calibri"/>
      <family val="2"/>
      <charset val="186"/>
      <scheme val="minor"/>
    </font>
    <font>
      <sz val="8"/>
      <color rgb="FFFF0000"/>
      <name val="Calibri"/>
      <family val="2"/>
      <charset val="186"/>
      <scheme val="minor"/>
    </font>
    <font>
      <b/>
      <sz val="8"/>
      <name val="Calibri"/>
      <family val="2"/>
      <charset val="186"/>
      <scheme val="minor"/>
    </font>
    <font>
      <b/>
      <sz val="8"/>
      <color theme="1"/>
      <name val="Calibri"/>
      <family val="2"/>
      <charset val="186"/>
      <scheme val="minor"/>
    </font>
    <font>
      <sz val="10"/>
      <color theme="1"/>
      <name val="Calibri"/>
      <family val="2"/>
      <charset val="186"/>
      <scheme val="minor"/>
    </font>
    <font>
      <sz val="10"/>
      <color theme="1"/>
      <name val="Times New Roman"/>
      <family val="1"/>
      <charset val="186"/>
    </font>
    <font>
      <strike/>
      <sz val="8"/>
      <color theme="1"/>
      <name val="Calibri"/>
      <family val="2"/>
      <charset val="186"/>
      <scheme val="minor"/>
    </font>
    <font>
      <b/>
      <sz val="11"/>
      <color theme="1"/>
      <name val="Calibri"/>
      <family val="2"/>
      <charset val="186"/>
      <scheme val="minor"/>
    </font>
  </fonts>
  <fills count="12">
    <fill>
      <patternFill patternType="none"/>
    </fill>
    <fill>
      <patternFill patternType="gray125"/>
    </fill>
    <fill>
      <patternFill patternType="solid">
        <fgColor rgb="FFD9E2F3"/>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top style="dashed">
        <color indexed="64"/>
      </top>
      <bottom style="dashed">
        <color indexed="64"/>
      </bottom>
      <diagonal/>
    </border>
  </borders>
  <cellStyleXfs count="6">
    <xf numFmtId="0" fontId="0" fillId="0" borderId="0"/>
    <xf numFmtId="165" fontId="1" fillId="0" borderId="0" applyFont="0" applyFill="0" applyBorder="0" applyAlignment="0" applyProtection="0"/>
    <xf numFmtId="0" fontId="3"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168">
    <xf numFmtId="0" fontId="0" fillId="0" borderId="0" xfId="0"/>
    <xf numFmtId="167" fontId="0" fillId="0" borderId="0" xfId="3" applyNumberFormat="1" applyFont="1"/>
    <xf numFmtId="0" fontId="15" fillId="0" borderId="0" xfId="0" applyFont="1"/>
    <xf numFmtId="164" fontId="0" fillId="0" borderId="0" xfId="0" applyNumberFormat="1"/>
    <xf numFmtId="164" fontId="15" fillId="0" borderId="0" xfId="0" applyNumberFormat="1" applyFont="1"/>
    <xf numFmtId="167" fontId="15" fillId="0" borderId="0" xfId="3" applyNumberFormat="1" applyFont="1"/>
    <xf numFmtId="4" fontId="2" fillId="3" borderId="1" xfId="0" applyNumberFormat="1" applyFont="1" applyFill="1" applyBorder="1" applyAlignment="1">
      <alignment horizontal="center" vertical="center" wrapText="1"/>
    </xf>
    <xf numFmtId="4" fontId="2" fillId="5" borderId="1" xfId="1" applyNumberFormat="1"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 fontId="2" fillId="0" borderId="1" xfId="1" applyNumberFormat="1" applyFont="1" applyFill="1" applyBorder="1" applyAlignment="1">
      <alignment horizontal="center" vertical="center" wrapText="1"/>
    </xf>
    <xf numFmtId="4" fontId="2" fillId="0" borderId="15" xfId="1" applyNumberFormat="1" applyFont="1" applyFill="1" applyBorder="1" applyAlignment="1">
      <alignment horizontal="center" vertical="center" wrapText="1"/>
    </xf>
    <xf numFmtId="165" fontId="11" fillId="4" borderId="1" xfId="1" applyFont="1" applyFill="1" applyBorder="1" applyAlignment="1">
      <alignment horizontal="center" vertical="center" wrapText="1"/>
    </xf>
    <xf numFmtId="4" fontId="2" fillId="8" borderId="1" xfId="1" applyNumberFormat="1" applyFont="1" applyFill="1" applyBorder="1" applyAlignment="1">
      <alignment horizontal="center" vertical="center" wrapText="1"/>
    </xf>
    <xf numFmtId="4" fontId="2" fillId="0" borderId="1" xfId="1" applyNumberFormat="1" applyFont="1" applyBorder="1" applyAlignment="1">
      <alignment horizontal="center" vertical="center" wrapText="1"/>
    </xf>
    <xf numFmtId="0" fontId="6" fillId="2" borderId="7" xfId="0" applyFont="1" applyFill="1" applyBorder="1" applyAlignment="1">
      <alignment horizontal="center" vertical="center"/>
    </xf>
    <xf numFmtId="0" fontId="6" fillId="10" borderId="9" xfId="0" applyFont="1" applyFill="1" applyBorder="1" applyAlignment="1">
      <alignment horizontal="center" vertical="center" wrapText="1"/>
    </xf>
    <xf numFmtId="0" fontId="6" fillId="2" borderId="0" xfId="0" applyFont="1" applyFill="1" applyAlignment="1">
      <alignment horizontal="center" vertical="center"/>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1" applyFont="1" applyFill="1" applyBorder="1" applyAlignment="1">
      <alignment horizontal="center" vertical="center" wrapText="1"/>
    </xf>
    <xf numFmtId="165" fontId="6" fillId="10" borderId="2" xfId="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2" fillId="6" borderId="1" xfId="2" applyFont="1" applyFill="1" applyBorder="1" applyAlignment="1">
      <alignment horizontal="center" vertical="center" wrapText="1"/>
    </xf>
    <xf numFmtId="0" fontId="2" fillId="7" borderId="1" xfId="2"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0" borderId="1" xfId="0" applyFont="1" applyBorder="1" applyAlignment="1">
      <alignment horizontal="center" vertical="center" wrapText="1"/>
    </xf>
    <xf numFmtId="4" fontId="5" fillId="0" borderId="1" xfId="1" applyNumberFormat="1" applyFont="1" applyBorder="1" applyAlignment="1">
      <alignment horizontal="center" vertical="center" wrapText="1"/>
    </xf>
    <xf numFmtId="4" fontId="5" fillId="0" borderId="1" xfId="1" applyNumberFormat="1" applyFont="1" applyBorder="1" applyAlignment="1">
      <alignment horizontal="center" vertical="center"/>
    </xf>
    <xf numFmtId="165" fontId="5" fillId="0" borderId="1" xfId="1" applyFont="1" applyBorder="1" applyAlignment="1">
      <alignment horizontal="center" vertical="center"/>
    </xf>
    <xf numFmtId="165" fontId="5" fillId="5" borderId="1" xfId="1" applyFont="1" applyFill="1" applyBorder="1" applyAlignment="1">
      <alignment horizontal="center" vertical="center"/>
    </xf>
    <xf numFmtId="165" fontId="5" fillId="10" borderId="1" xfId="1" applyFont="1" applyFill="1" applyBorder="1" applyAlignment="1">
      <alignment horizontal="center" vertical="center"/>
    </xf>
    <xf numFmtId="166" fontId="5" fillId="5" borderId="1" xfId="1" applyNumberFormat="1" applyFont="1" applyFill="1" applyBorder="1" applyAlignment="1">
      <alignment horizontal="center" vertical="center"/>
    </xf>
    <xf numFmtId="165" fontId="11" fillId="4" borderId="1" xfId="0" applyNumberFormat="1" applyFont="1" applyFill="1" applyBorder="1" applyAlignment="1">
      <alignment horizontal="center" vertical="center" wrapText="1"/>
    </xf>
    <xf numFmtId="166" fontId="11" fillId="4" borderId="1" xfId="0" applyNumberFormat="1" applyFont="1" applyFill="1" applyBorder="1" applyAlignment="1">
      <alignment horizontal="center" vertical="center" wrapText="1"/>
    </xf>
    <xf numFmtId="0" fontId="2" fillId="10" borderId="1" xfId="2"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166" fontId="5" fillId="5" borderId="1" xfId="0" applyNumberFormat="1" applyFont="1" applyFill="1" applyBorder="1" applyAlignment="1">
      <alignment horizontal="center" vertical="center"/>
    </xf>
    <xf numFmtId="166" fontId="5" fillId="7" borderId="1" xfId="0" applyNumberFormat="1" applyFont="1" applyFill="1" applyBorder="1" applyAlignment="1">
      <alignment horizontal="center" vertical="center"/>
    </xf>
    <xf numFmtId="166" fontId="5" fillId="0" borderId="1" xfId="0" applyNumberFormat="1" applyFont="1" applyBorder="1" applyAlignment="1">
      <alignment horizontal="center" vertical="center"/>
    </xf>
    <xf numFmtId="4" fontId="5" fillId="0" borderId="1" xfId="1" applyNumberFormat="1" applyFont="1" applyFill="1" applyBorder="1" applyAlignment="1">
      <alignment horizontal="center" vertical="center" wrapText="1"/>
    </xf>
    <xf numFmtId="165" fontId="5" fillId="0" borderId="1" xfId="1" applyFont="1" applyFill="1" applyBorder="1" applyAlignment="1">
      <alignment horizontal="center" vertical="center" wrapText="1"/>
    </xf>
    <xf numFmtId="0" fontId="2" fillId="0" borderId="1" xfId="2" applyFont="1" applyBorder="1" applyAlignment="1">
      <alignment horizontal="center" vertical="center" wrapText="1"/>
    </xf>
    <xf numFmtId="165" fontId="2" fillId="0" borderId="1" xfId="1" applyFont="1" applyFill="1" applyBorder="1" applyAlignment="1">
      <alignment horizontal="center" vertical="center" wrapText="1"/>
    </xf>
    <xf numFmtId="166" fontId="9" fillId="7" borderId="1" xfId="0" applyNumberFormat="1" applyFont="1" applyFill="1" applyBorder="1" applyAlignment="1">
      <alignment horizontal="center" vertical="center"/>
    </xf>
    <xf numFmtId="166" fontId="2" fillId="0" borderId="1" xfId="0" applyNumberFormat="1" applyFont="1" applyBorder="1" applyAlignment="1">
      <alignment horizontal="center" vertical="center"/>
    </xf>
    <xf numFmtId="166" fontId="2" fillId="7" borderId="1" xfId="0" applyNumberFormat="1" applyFont="1" applyFill="1" applyBorder="1" applyAlignment="1">
      <alignment horizontal="center" vertical="center"/>
    </xf>
    <xf numFmtId="166" fontId="9" fillId="5" borderId="1" xfId="0" applyNumberFormat="1" applyFont="1" applyFill="1" applyBorder="1" applyAlignment="1">
      <alignment horizontal="center" vertical="center"/>
    </xf>
    <xf numFmtId="165" fontId="5" fillId="0" borderId="15" xfId="1" applyFont="1" applyFill="1" applyBorder="1" applyAlignment="1">
      <alignment horizontal="center" vertical="center" wrapText="1"/>
    </xf>
    <xf numFmtId="0" fontId="2" fillId="10" borderId="15" xfId="2" applyFont="1" applyFill="1" applyBorder="1" applyAlignment="1">
      <alignment horizontal="center" vertical="center" wrapText="1"/>
    </xf>
    <xf numFmtId="166" fontId="5" fillId="8" borderId="1" xfId="0" applyNumberFormat="1" applyFont="1" applyFill="1" applyBorder="1" applyAlignment="1">
      <alignment horizontal="center" vertical="center"/>
    </xf>
    <xf numFmtId="166" fontId="5" fillId="5" borderId="13" xfId="0" applyNumberFormat="1" applyFont="1" applyFill="1" applyBorder="1" applyAlignment="1">
      <alignment horizontal="center" vertical="center"/>
    </xf>
    <xf numFmtId="165" fontId="5" fillId="0" borderId="2" xfId="1" applyFont="1" applyFill="1" applyBorder="1" applyAlignment="1">
      <alignment horizontal="center" vertical="center" wrapText="1"/>
    </xf>
    <xf numFmtId="0" fontId="2" fillId="10" borderId="2" xfId="2" applyFont="1" applyFill="1" applyBorder="1" applyAlignment="1">
      <alignment horizontal="center" vertical="center" wrapText="1"/>
    </xf>
    <xf numFmtId="166" fontId="11" fillId="4" borderId="11" xfId="0" applyNumberFormat="1" applyFont="1" applyFill="1" applyBorder="1" applyAlignment="1">
      <alignment horizontal="center" vertical="center"/>
    </xf>
    <xf numFmtId="166" fontId="11" fillId="4" borderId="12" xfId="0" applyNumberFormat="1" applyFont="1" applyFill="1" applyBorder="1" applyAlignment="1">
      <alignment horizontal="center" vertical="center" wrapText="1"/>
    </xf>
    <xf numFmtId="166" fontId="11" fillId="4" borderId="13" xfId="0" applyNumberFormat="1" applyFont="1" applyFill="1" applyBorder="1" applyAlignment="1">
      <alignment horizontal="center" vertical="center" wrapText="1"/>
    </xf>
    <xf numFmtId="165" fontId="11" fillId="4" borderId="13" xfId="1" applyFont="1" applyFill="1" applyBorder="1" applyAlignment="1">
      <alignment horizontal="center" vertical="center" wrapText="1"/>
    </xf>
    <xf numFmtId="165" fontId="5" fillId="0" borderId="1" xfId="1" applyFont="1" applyFill="1" applyBorder="1" applyAlignment="1">
      <alignment horizontal="center" vertical="center"/>
    </xf>
    <xf numFmtId="0" fontId="5" fillId="10" borderId="1" xfId="0" applyFont="1" applyFill="1" applyBorder="1" applyAlignment="1">
      <alignment horizontal="center" vertical="center"/>
    </xf>
    <xf numFmtId="165" fontId="6" fillId="0" borderId="1" xfId="1" applyFont="1" applyFill="1" applyBorder="1" applyAlignment="1">
      <alignment horizontal="center" vertical="center" wrapText="1"/>
    </xf>
    <xf numFmtId="166" fontId="5" fillId="6" borderId="1" xfId="0" applyNumberFormat="1" applyFont="1" applyFill="1" applyBorder="1" applyAlignment="1">
      <alignment horizontal="center" vertical="center"/>
    </xf>
    <xf numFmtId="166" fontId="5" fillId="0" borderId="1" xfId="1" applyNumberFormat="1" applyFont="1" applyFill="1" applyBorder="1" applyAlignment="1">
      <alignment horizontal="center" vertical="center"/>
    </xf>
    <xf numFmtId="166" fontId="9" fillId="6" borderId="1" xfId="0" applyNumberFormat="1" applyFont="1" applyFill="1" applyBorder="1" applyAlignment="1">
      <alignment horizontal="center" vertical="center"/>
    </xf>
    <xf numFmtId="166" fontId="2" fillId="8" borderId="1" xfId="0" applyNumberFormat="1" applyFont="1" applyFill="1" applyBorder="1" applyAlignment="1">
      <alignment horizontal="center" vertical="center"/>
    </xf>
    <xf numFmtId="166" fontId="11" fillId="4" borderId="12" xfId="0" applyNumberFormat="1" applyFont="1" applyFill="1" applyBorder="1" applyAlignment="1">
      <alignment horizontal="center" vertical="center"/>
    </xf>
    <xf numFmtId="166" fontId="11" fillId="4" borderId="13" xfId="0" applyNumberFormat="1" applyFont="1" applyFill="1" applyBorder="1" applyAlignment="1">
      <alignment horizontal="center" vertical="center"/>
    </xf>
    <xf numFmtId="3" fontId="10" fillId="4" borderId="1" xfId="0" applyNumberFormat="1" applyFont="1" applyFill="1" applyBorder="1" applyAlignment="1">
      <alignment horizontal="center" vertical="center" wrapText="1"/>
    </xf>
    <xf numFmtId="165" fontId="5" fillId="0" borderId="1" xfId="1" applyFont="1" applyBorder="1" applyAlignment="1">
      <alignment horizontal="center" vertical="center" wrapText="1"/>
    </xf>
    <xf numFmtId="165" fontId="5" fillId="10" borderId="1" xfId="1" applyFont="1" applyFill="1" applyBorder="1" applyAlignment="1">
      <alignment horizontal="center" vertical="center" wrapText="1"/>
    </xf>
    <xf numFmtId="0" fontId="2" fillId="8" borderId="1" xfId="2" applyFont="1" applyFill="1" applyBorder="1" applyAlignment="1">
      <alignment horizontal="center" vertical="center" wrapText="1"/>
    </xf>
    <xf numFmtId="166" fontId="2" fillId="6" borderId="1" xfId="0" applyNumberFormat="1" applyFont="1" applyFill="1" applyBorder="1" applyAlignment="1">
      <alignment horizontal="center" vertical="center"/>
    </xf>
    <xf numFmtId="0" fontId="11" fillId="5" borderId="1" xfId="0" applyFont="1" applyFill="1" applyBorder="1" applyAlignment="1">
      <alignment horizontal="center" vertical="center"/>
    </xf>
    <xf numFmtId="0" fontId="5" fillId="0" borderId="0" xfId="0" applyFont="1" applyAlignment="1">
      <alignment horizontal="center" vertical="center"/>
    </xf>
    <xf numFmtId="0" fontId="4" fillId="2" borderId="6" xfId="0" applyFont="1" applyFill="1" applyBorder="1" applyAlignment="1">
      <alignment horizontal="center" vertical="center"/>
    </xf>
    <xf numFmtId="4" fontId="6" fillId="2" borderId="7" xfId="0" applyNumberFormat="1" applyFont="1" applyFill="1" applyBorder="1" applyAlignment="1">
      <alignment horizontal="center" vertical="center"/>
    </xf>
    <xf numFmtId="165" fontId="6" fillId="2" borderId="8" xfId="1" applyFont="1" applyFill="1" applyBorder="1" applyAlignment="1">
      <alignment horizontal="center" vertical="center"/>
    </xf>
    <xf numFmtId="165" fontId="6" fillId="10" borderId="0" xfId="1" applyFont="1" applyFill="1" applyBorder="1" applyAlignment="1">
      <alignment horizontal="center" vertical="center"/>
    </xf>
    <xf numFmtId="0" fontId="9" fillId="2" borderId="9" xfId="0" applyFont="1" applyFill="1" applyBorder="1" applyAlignment="1">
      <alignment horizontal="center" vertical="center"/>
    </xf>
    <xf numFmtId="4" fontId="6" fillId="2" borderId="0" xfId="0" applyNumberFormat="1" applyFont="1" applyFill="1" applyAlignment="1">
      <alignment horizontal="center" vertical="center"/>
    </xf>
    <xf numFmtId="165" fontId="6" fillId="2" borderId="10" xfId="1" applyFont="1" applyFill="1" applyBorder="1" applyAlignment="1">
      <alignment horizontal="center" vertical="center"/>
    </xf>
    <xf numFmtId="0" fontId="12" fillId="5" borderId="1" xfId="0" applyFont="1" applyFill="1" applyBorder="1" applyAlignment="1">
      <alignment horizontal="center" vertical="center"/>
    </xf>
    <xf numFmtId="0" fontId="5" fillId="11" borderId="17" xfId="0" applyFont="1" applyFill="1" applyBorder="1" applyAlignment="1">
      <alignment horizontal="center" vertical="center" wrapText="1"/>
    </xf>
    <xf numFmtId="0" fontId="5" fillId="11" borderId="16" xfId="0" applyFont="1" applyFill="1" applyBorder="1" applyAlignment="1">
      <alignment horizontal="center" vertical="center" wrapText="1"/>
    </xf>
    <xf numFmtId="0" fontId="5" fillId="11" borderId="18" xfId="0" applyFont="1" applyFill="1" applyBorder="1" applyAlignment="1">
      <alignment horizontal="center" vertical="center" wrapText="1"/>
    </xf>
    <xf numFmtId="0" fontId="5" fillId="11" borderId="19" xfId="0" applyFont="1" applyFill="1" applyBorder="1" applyAlignment="1">
      <alignment horizontal="center" vertical="center" wrapText="1"/>
    </xf>
    <xf numFmtId="165" fontId="5" fillId="11" borderId="17" xfId="1" applyFont="1" applyFill="1" applyBorder="1" applyAlignment="1">
      <alignment horizontal="center" vertical="center" wrapText="1"/>
    </xf>
    <xf numFmtId="165" fontId="5" fillId="11" borderId="16" xfId="1" applyFont="1" applyFill="1" applyBorder="1" applyAlignment="1">
      <alignment horizontal="center" vertical="center" wrapText="1"/>
    </xf>
    <xf numFmtId="0" fontId="2" fillId="11" borderId="16" xfId="2" applyFont="1" applyFill="1" applyBorder="1" applyAlignment="1">
      <alignment horizontal="center" vertical="center" wrapText="1"/>
    </xf>
    <xf numFmtId="4" fontId="2" fillId="11" borderId="16" xfId="1" applyNumberFormat="1" applyFont="1" applyFill="1" applyBorder="1" applyAlignment="1">
      <alignment horizontal="center" vertical="center" wrapText="1"/>
    </xf>
    <xf numFmtId="0" fontId="2" fillId="9" borderId="16" xfId="2" applyFont="1" applyFill="1" applyBorder="1" applyAlignment="1">
      <alignment horizontal="center" vertical="center" wrapText="1"/>
    </xf>
    <xf numFmtId="165" fontId="13" fillId="5" borderId="1" xfId="1" applyFont="1" applyFill="1" applyBorder="1" applyAlignment="1">
      <alignment horizontal="center" vertical="center" wrapText="1"/>
    </xf>
    <xf numFmtId="0" fontId="11" fillId="4" borderId="11" xfId="0" applyFont="1" applyFill="1" applyBorder="1" applyAlignment="1">
      <alignment horizontal="center" vertical="center"/>
    </xf>
    <xf numFmtId="4" fontId="11" fillId="5" borderId="1" xfId="1" applyNumberFormat="1" applyFont="1" applyFill="1" applyBorder="1" applyAlignment="1">
      <alignment horizontal="center" vertical="center"/>
    </xf>
    <xf numFmtId="165" fontId="11" fillId="5" borderId="1" xfId="1" applyFont="1" applyFill="1" applyBorder="1" applyAlignment="1">
      <alignment horizontal="center" vertical="center"/>
    </xf>
    <xf numFmtId="165" fontId="5" fillId="0" borderId="0" xfId="1" applyFont="1" applyAlignment="1">
      <alignment horizontal="center" vertical="center"/>
    </xf>
    <xf numFmtId="4" fontId="2" fillId="0" borderId="0" xfId="0" applyNumberFormat="1" applyFont="1" applyAlignment="1">
      <alignment horizontal="center" vertical="center"/>
    </xf>
    <xf numFmtId="0" fontId="5" fillId="5" borderId="1" xfId="0" applyFont="1" applyFill="1" applyBorder="1" applyAlignment="1">
      <alignment horizontal="center" vertical="center"/>
    </xf>
    <xf numFmtId="4" fontId="5" fillId="0" borderId="0" xfId="1" applyNumberFormat="1"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xf>
    <xf numFmtId="0" fontId="5" fillId="10" borderId="1" xfId="2"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2" fillId="7" borderId="0" xfId="0" applyFont="1" applyFill="1" applyAlignment="1">
      <alignment horizontal="center" vertical="center"/>
    </xf>
    <xf numFmtId="166" fontId="5" fillId="0" borderId="1" xfId="0" applyNumberFormat="1" applyFont="1" applyBorder="1" applyAlignment="1">
      <alignment horizontal="center" vertical="top"/>
    </xf>
    <xf numFmtId="0" fontId="5" fillId="0" borderId="1" xfId="0" applyFont="1" applyBorder="1" applyAlignment="1">
      <alignment horizontal="center" vertical="center"/>
    </xf>
    <xf numFmtId="4" fontId="2"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5" xfId="0" applyFont="1" applyBorder="1" applyAlignment="1">
      <alignment horizontal="center" vertical="center" wrapText="1"/>
    </xf>
    <xf numFmtId="165" fontId="6" fillId="0" borderId="1" xfId="4" applyFont="1" applyFill="1" applyBorder="1" applyAlignment="1">
      <alignment horizontal="center" vertical="top" wrapText="1"/>
    </xf>
    <xf numFmtId="4" fontId="2" fillId="0" borderId="2" xfId="4" applyNumberFormat="1" applyFont="1" applyFill="1" applyBorder="1" applyAlignment="1">
      <alignment horizontal="center" vertical="top" wrapText="1"/>
    </xf>
    <xf numFmtId="165" fontId="6" fillId="0" borderId="2" xfId="1" applyFont="1" applyFill="1" applyBorder="1" applyAlignment="1">
      <alignment horizontal="center" vertical="center" wrapText="1"/>
    </xf>
    <xf numFmtId="168" fontId="5" fillId="0" borderId="2" xfId="0" applyNumberFormat="1" applyFont="1" applyBorder="1" applyAlignment="1">
      <alignment horizontal="center" vertical="center" wrapText="1"/>
    </xf>
    <xf numFmtId="165" fontId="5" fillId="0" borderId="2" xfId="4" applyFont="1" applyFill="1" applyBorder="1" applyAlignment="1">
      <alignment horizontal="center" vertical="center" wrapText="1"/>
    </xf>
    <xf numFmtId="0" fontId="2" fillId="0" borderId="2" xfId="2" applyFont="1" applyBorder="1" applyAlignment="1">
      <alignment horizontal="center" vertical="center" wrapText="1"/>
    </xf>
    <xf numFmtId="4" fontId="2" fillId="0" borderId="2" xfId="4"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165" fontId="5" fillId="0" borderId="1" xfId="4" applyFont="1" applyFill="1" applyBorder="1" applyAlignment="1">
      <alignment horizontal="center" vertical="top" wrapText="1"/>
    </xf>
    <xf numFmtId="4" fontId="2" fillId="0" borderId="1" xfId="4" applyNumberFormat="1" applyFont="1" applyFill="1" applyBorder="1" applyAlignment="1">
      <alignment horizontal="center" vertical="top" wrapText="1"/>
    </xf>
    <xf numFmtId="4" fontId="2" fillId="0" borderId="1" xfId="2" applyNumberFormat="1" applyFont="1" applyBorder="1" applyAlignment="1">
      <alignment horizontal="center" vertical="center" wrapText="1"/>
    </xf>
    <xf numFmtId="0" fontId="2" fillId="0" borderId="15" xfId="2" applyFont="1" applyBorder="1" applyAlignment="1">
      <alignment horizontal="center" vertical="center" wrapText="1"/>
    </xf>
    <xf numFmtId="165" fontId="5" fillId="0" borderId="15" xfId="4" applyFont="1" applyFill="1" applyBorder="1" applyAlignment="1">
      <alignment horizontal="center" vertical="top"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165" fontId="5" fillId="0" borderId="15" xfId="1" applyFont="1" applyBorder="1" applyAlignment="1">
      <alignment horizontal="center" vertical="center"/>
    </xf>
    <xf numFmtId="165" fontId="5" fillId="0" borderId="2" xfId="1" applyFont="1" applyBorder="1" applyAlignment="1">
      <alignment horizontal="center" vertical="center"/>
    </xf>
    <xf numFmtId="4" fontId="2" fillId="0" borderId="15" xfId="1" applyNumberFormat="1" applyFont="1" applyBorder="1" applyAlignment="1">
      <alignment horizontal="center" vertical="center" wrapText="1"/>
    </xf>
    <xf numFmtId="4" fontId="2" fillId="0" borderId="2" xfId="1"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1" applyNumberFormat="1" applyFont="1" applyBorder="1" applyAlignment="1">
      <alignment horizontal="center" vertical="center" wrapText="1"/>
    </xf>
    <xf numFmtId="165" fontId="5" fillId="0" borderId="1" xfId="1" applyFont="1" applyBorder="1" applyAlignment="1">
      <alignment horizontal="center" vertical="center" wrapText="1"/>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3" xfId="0" applyFont="1" applyFill="1" applyBorder="1" applyAlignment="1">
      <alignment horizontal="center" vertical="center"/>
    </xf>
    <xf numFmtId="166" fontId="5" fillId="7" borderId="1" xfId="0" applyNumberFormat="1" applyFont="1" applyFill="1" applyBorder="1" applyAlignment="1">
      <alignment horizontal="center" vertical="center"/>
    </xf>
    <xf numFmtId="166" fontId="5" fillId="0" borderId="1" xfId="0" applyNumberFormat="1" applyFont="1" applyBorder="1" applyAlignment="1">
      <alignment horizontal="center" vertical="center"/>
    </xf>
    <xf numFmtId="4" fontId="2" fillId="0" borderId="1" xfId="1" applyNumberFormat="1" applyFont="1" applyFill="1" applyBorder="1" applyAlignment="1">
      <alignment horizontal="center" vertical="center" wrapText="1"/>
    </xf>
    <xf numFmtId="165" fontId="5" fillId="0" borderId="15" xfId="1" applyFont="1" applyFill="1" applyBorder="1" applyAlignment="1">
      <alignment horizontal="center" vertical="center" wrapText="1"/>
    </xf>
    <xf numFmtId="165" fontId="5" fillId="0" borderId="14" xfId="1" applyFont="1" applyFill="1" applyBorder="1" applyAlignment="1">
      <alignment horizontal="center" vertical="center" wrapText="1"/>
    </xf>
    <xf numFmtId="165" fontId="6" fillId="0" borderId="1" xfId="1"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4" fontId="5" fillId="0" borderId="15" xfId="1" applyNumberFormat="1" applyFont="1" applyFill="1" applyBorder="1" applyAlignment="1">
      <alignment horizontal="center" vertical="center" wrapText="1"/>
    </xf>
    <xf numFmtId="4" fontId="5" fillId="0" borderId="2" xfId="1" applyNumberFormat="1" applyFont="1" applyFill="1" applyBorder="1" applyAlignment="1">
      <alignment horizontal="center" vertical="center" wrapText="1"/>
    </xf>
    <xf numFmtId="165" fontId="2" fillId="0" borderId="15" xfId="1" applyFont="1" applyFill="1" applyBorder="1" applyAlignment="1">
      <alignment horizontal="center" vertical="center" wrapText="1"/>
    </xf>
    <xf numFmtId="165" fontId="2" fillId="0" borderId="2" xfId="1" applyFont="1" applyFill="1" applyBorder="1" applyAlignment="1">
      <alignment horizontal="center" vertical="center" wrapText="1"/>
    </xf>
    <xf numFmtId="0" fontId="11" fillId="4" borderId="1"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5" xfId="2" applyFont="1" applyBorder="1" applyAlignment="1">
      <alignment horizontal="center" vertical="center" wrapText="1"/>
    </xf>
    <xf numFmtId="0" fontId="2" fillId="0" borderId="2" xfId="2" applyFont="1" applyBorder="1" applyAlignment="1">
      <alignment horizontal="center" vertical="center" wrapText="1"/>
    </xf>
    <xf numFmtId="0" fontId="5" fillId="0" borderId="15" xfId="2" applyFont="1" applyBorder="1" applyAlignment="1">
      <alignment horizontal="center" vertical="center" wrapText="1"/>
    </xf>
    <xf numFmtId="0" fontId="5" fillId="0" borderId="2" xfId="2" applyFont="1" applyBorder="1" applyAlignment="1">
      <alignment horizontal="center" vertical="center" wrapText="1"/>
    </xf>
  </cellXfs>
  <cellStyles count="6">
    <cellStyle name="Comma 2" xfId="4" xr:uid="{5400DED2-9D64-461A-BE99-9C654030DE0F}"/>
    <cellStyle name="Comma 3" xfId="5" xr:uid="{816BAC2A-0A2D-4D40-8E2A-8564A746CDDE}"/>
    <cellStyle name="Įprastas" xfId="0" builtinId="0"/>
    <cellStyle name="Įprastas 2" xfId="2" xr:uid="{E8EA601E-686F-4CCE-88C0-01EC60EB0311}"/>
    <cellStyle name="Kablelis" xfId="1" builtinId="3"/>
    <cellStyle name="Procentai" xfId="3" builtinId="5"/>
  </cellStyles>
  <dxfs count="6">
    <dxf>
      <numFmt numFmtId="164" formatCode="_-* #,##0.00\ &quot;€&quot;_-;\-* #,##0.00\ &quot;€&quot;_-;_-* &quot;-&quot;??\ &quot;€&quot;_-;_-@_-"/>
    </dxf>
    <dxf>
      <numFmt numFmtId="164" formatCode="_-* #,##0.00\ &quot;€&quot;_-;\-* #,##0.00\ &quot;€&quot;_-;_-* &quot;-&quot;??\ &quot;€&quot;_-;_-@_-"/>
    </dxf>
    <dxf>
      <numFmt numFmtId="164" formatCode="_-* #,##0.00\ &quot;€&quot;_-;\-* #,##0.00\ &quot;€&quot;_-;_-* &quot;-&quot;??\ &quot;€&quot;_-;_-@_-"/>
    </dxf>
    <dxf>
      <numFmt numFmtId="164" formatCode="_-* #,##0.00\ &quot;€&quot;_-;\-* #,##0.00\ &quot;€&quot;_-;_-* &quot;-&quot;??\ &quot;€&quot;_-;_-@_-"/>
    </dxf>
    <dxf>
      <numFmt numFmtId="164" formatCode="_-* #,##0.00\ &quot;€&quot;_-;\-* #,##0.00\ &quot;€&quot;_-;_-* &quot;-&quot;??\ &quot;€&quot;_-;_-@_-"/>
    </dxf>
    <dxf>
      <font>
        <b/>
      </font>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8C537C-01A8-4501-BA8A-F6D21EB5776E}" name="Table1" displayName="Table1" ref="A2:I20" totalsRowShown="0" headerRowDxfId="5">
  <autoFilter ref="A2:I20" xr:uid="{F18C537C-01A8-4501-BA8A-F6D21EB5776E}"/>
  <tableColumns count="9">
    <tableColumn id="1" xr3:uid="{D9B647CF-232E-46E3-887F-88C3617DD80A}" name="Konkretus tikslas KT"/>
    <tableColumn id="2" xr3:uid="{7F01F26B-136E-4ED7-AF18-4CFA678166D3}" name="Veiksmų rūšis"/>
    <tableColumn id="3" xr3:uid="{F16CFAE3-7D8E-426C-8996-A36166A278E3}" name="Sąjungos paramos (visos arba viešosios) apskaičiavimo pagrindas"/>
    <tableColumn id="4" xr3:uid="{6371803E-AF1E-44E5-BBDC-6871D5B8233E}" name="Sąjungos įnašas a" dataDxfId="4"/>
    <tableColumn id="5" xr3:uid="{E9F12608-3A30-4169-BA83-2136829C5BE3}" name="Nacionalinis įnašas - b=c+d" dataDxfId="3"/>
    <tableColumn id="6" xr3:uid="{5D1F3CD5-5050-40D8-9F34-026C26800A1D}" name="Viešasis" dataDxfId="2"/>
    <tableColumn id="7" xr3:uid="{AD4EA881-350C-4A06-A433-9D00DBC53681}" name="Privatusis" dataDxfId="1"/>
    <tableColumn id="8" xr3:uid="{9234C6E1-25E1-45A8-8AF7-941900D5E5BD}" name="Iš viso e=a+b" dataDxfId="0"/>
    <tableColumn id="9" xr3:uid="{5D8BB5EA-D93A-4C58-AF17-D6A840E43BEC}" name="Bendro finansavimo norma f=a/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A18B-BD35-422C-ADA0-4E65839C5C4B}">
  <dimension ref="A1:BC64"/>
  <sheetViews>
    <sheetView tabSelected="1" topLeftCell="A12" zoomScale="85" zoomScaleNormal="85" workbookViewId="0">
      <selection activeCell="G20" sqref="G20"/>
    </sheetView>
  </sheetViews>
  <sheetFormatPr defaultColWidth="9.140625" defaultRowHeight="15"/>
  <cols>
    <col min="1" max="1" width="35" style="73" customWidth="1"/>
    <col min="2" max="2" width="5.5703125" style="73" customWidth="1"/>
    <col min="3" max="3" width="25.42578125" style="73" customWidth="1"/>
    <col min="4" max="4" width="7.5703125" style="73" customWidth="1"/>
    <col min="5" max="6" width="8.85546875" style="73"/>
    <col min="7" max="7" width="16" style="98" bestFit="1" customWidth="1"/>
    <col min="8" max="8" width="14.42578125" style="98" bestFit="1" customWidth="1"/>
    <col min="9" max="9" width="12.42578125" style="95" customWidth="1"/>
    <col min="10" max="10" width="20.42578125" style="95" customWidth="1"/>
    <col min="11" max="11" width="36.5703125" style="73" customWidth="1"/>
    <col min="12" max="12" width="13.5703125" style="73" customWidth="1"/>
    <col min="13" max="13" width="13.42578125" style="96" customWidth="1"/>
    <col min="14" max="15" width="9.5703125" style="73" customWidth="1"/>
    <col min="16" max="16" width="18.42578125" style="73" customWidth="1"/>
    <col min="17" max="17" width="13.5703125" style="73" customWidth="1"/>
    <col min="18" max="19" width="13.42578125" style="73" customWidth="1"/>
    <col min="20" max="20" width="12.5703125" style="73" customWidth="1"/>
    <col min="21" max="23" width="9.42578125" style="73" bestFit="1" customWidth="1"/>
    <col min="24" max="24" width="11.42578125" style="73" customWidth="1"/>
    <col min="25" max="25" width="9.42578125" style="73" bestFit="1" customWidth="1"/>
    <col min="26" max="26" width="13.5703125" style="73" customWidth="1"/>
    <col min="27" max="27" width="17.42578125" style="73" customWidth="1"/>
    <col min="28" max="31" width="9.42578125" style="73" bestFit="1" customWidth="1"/>
    <col min="32" max="32" width="9.5703125" style="73" customWidth="1"/>
    <col min="33" max="33" width="10" style="73" bestFit="1" customWidth="1"/>
    <col min="34" max="36" width="9.42578125" style="73" bestFit="1" customWidth="1"/>
    <col min="37" max="37" width="11.5703125" style="73" customWidth="1"/>
    <col min="38" max="40" width="9.42578125" style="73" bestFit="1" customWidth="1"/>
    <col min="41" max="41" width="14.5703125" style="73" customWidth="1"/>
    <col min="42" max="47" width="9.42578125" style="73" bestFit="1" customWidth="1"/>
    <col min="48" max="48" width="8.85546875" style="73"/>
    <col min="49" max="50" width="9.42578125" style="73" bestFit="1" customWidth="1"/>
    <col min="51" max="51" width="12.5703125" style="73" customWidth="1"/>
    <col min="52" max="52" width="9.42578125" style="73" bestFit="1" customWidth="1"/>
    <col min="53" max="53" width="11.42578125" style="73" customWidth="1"/>
    <col min="54" max="55" width="9.42578125" style="73" bestFit="1" customWidth="1"/>
  </cols>
  <sheetData>
    <row r="1" spans="1:55">
      <c r="A1" s="74" t="s">
        <v>0</v>
      </c>
      <c r="B1" s="14"/>
      <c r="C1" s="14"/>
      <c r="D1" s="14"/>
      <c r="E1" s="14"/>
      <c r="F1" s="14"/>
      <c r="G1" s="75"/>
      <c r="H1" s="75"/>
      <c r="I1" s="76"/>
      <c r="J1" s="77"/>
      <c r="K1" s="150" t="s">
        <v>1</v>
      </c>
      <c r="L1" s="151"/>
      <c r="M1" s="151"/>
      <c r="N1" s="151"/>
      <c r="O1" s="152"/>
      <c r="P1" s="15" t="s">
        <v>2</v>
      </c>
      <c r="Q1" s="135" t="s">
        <v>3</v>
      </c>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7"/>
    </row>
    <row r="2" spans="1:55">
      <c r="A2" s="78"/>
      <c r="B2" s="16"/>
      <c r="C2" s="16"/>
      <c r="D2" s="16"/>
      <c r="E2" s="16"/>
      <c r="F2" s="16"/>
      <c r="G2" s="79"/>
      <c r="H2" s="79"/>
      <c r="I2" s="80"/>
      <c r="J2" s="77"/>
      <c r="K2" s="153" t="s">
        <v>4</v>
      </c>
      <c r="L2" s="154"/>
      <c r="M2" s="154"/>
      <c r="N2" s="154"/>
      <c r="O2" s="155"/>
      <c r="P2" s="15"/>
      <c r="Q2" s="138" t="s">
        <v>5</v>
      </c>
      <c r="R2" s="139"/>
      <c r="S2" s="139"/>
      <c r="T2" s="139"/>
      <c r="U2" s="139"/>
      <c r="V2" s="139"/>
      <c r="W2" s="139"/>
      <c r="X2" s="139"/>
      <c r="Y2" s="139"/>
      <c r="Z2" s="139"/>
      <c r="AA2" s="139"/>
      <c r="AB2" s="139"/>
      <c r="AC2" s="139"/>
      <c r="AD2" s="140"/>
      <c r="AE2" s="141" t="s">
        <v>6</v>
      </c>
      <c r="AF2" s="142"/>
      <c r="AG2" s="142"/>
      <c r="AH2" s="142"/>
      <c r="AI2" s="142"/>
      <c r="AJ2" s="142"/>
      <c r="AK2" s="142"/>
      <c r="AL2" s="142"/>
      <c r="AM2" s="142"/>
      <c r="AN2" s="142"/>
      <c r="AO2" s="142"/>
      <c r="AP2" s="142"/>
      <c r="AQ2" s="142"/>
      <c r="AR2" s="143"/>
      <c r="AS2" s="138" t="s">
        <v>7</v>
      </c>
      <c r="AT2" s="139"/>
      <c r="AU2" s="139"/>
      <c r="AV2" s="139"/>
      <c r="AW2" s="139"/>
      <c r="AX2" s="139"/>
      <c r="AY2" s="139"/>
      <c r="AZ2" s="140"/>
      <c r="BA2" s="141" t="s">
        <v>8</v>
      </c>
      <c r="BB2" s="142"/>
      <c r="BC2" s="143"/>
    </row>
    <row r="3" spans="1:55" ht="191.25">
      <c r="A3" s="17" t="s">
        <v>9</v>
      </c>
      <c r="B3" s="17" t="s">
        <v>10</v>
      </c>
      <c r="C3" s="17" t="s">
        <v>11</v>
      </c>
      <c r="D3" s="17" t="s">
        <v>12</v>
      </c>
      <c r="E3" s="17" t="s">
        <v>13</v>
      </c>
      <c r="F3" s="17" t="s">
        <v>14</v>
      </c>
      <c r="G3" s="18" t="s">
        <v>15</v>
      </c>
      <c r="H3" s="18" t="s">
        <v>16</v>
      </c>
      <c r="I3" s="19" t="s">
        <v>17</v>
      </c>
      <c r="J3" s="20" t="s">
        <v>18</v>
      </c>
      <c r="K3" s="21" t="s">
        <v>19</v>
      </c>
      <c r="L3" s="21" t="s">
        <v>20</v>
      </c>
      <c r="M3" s="6" t="s">
        <v>21</v>
      </c>
      <c r="N3" s="21" t="s">
        <v>22</v>
      </c>
      <c r="O3" s="21" t="s">
        <v>23</v>
      </c>
      <c r="P3" s="22"/>
      <c r="Q3" s="23" t="s">
        <v>24</v>
      </c>
      <c r="R3" s="23" t="s">
        <v>25</v>
      </c>
      <c r="S3" s="23" t="s">
        <v>26</v>
      </c>
      <c r="T3" s="23" t="s">
        <v>27</v>
      </c>
      <c r="U3" s="23" t="s">
        <v>28</v>
      </c>
      <c r="V3" s="23" t="s">
        <v>29</v>
      </c>
      <c r="W3" s="23" t="s">
        <v>30</v>
      </c>
      <c r="X3" s="23" t="s">
        <v>31</v>
      </c>
      <c r="Y3" s="23" t="s">
        <v>32</v>
      </c>
      <c r="Z3" s="23" t="s">
        <v>33</v>
      </c>
      <c r="AA3" s="23" t="s">
        <v>34</v>
      </c>
      <c r="AB3" s="23" t="s">
        <v>35</v>
      </c>
      <c r="AC3" s="23" t="s">
        <v>36</v>
      </c>
      <c r="AD3" s="23" t="s">
        <v>37</v>
      </c>
      <c r="AE3" s="24" t="s">
        <v>38</v>
      </c>
      <c r="AF3" s="24" t="s">
        <v>39</v>
      </c>
      <c r="AG3" s="24" t="s">
        <v>40</v>
      </c>
      <c r="AH3" s="24" t="s">
        <v>41</v>
      </c>
      <c r="AI3" s="24" t="s">
        <v>42</v>
      </c>
      <c r="AJ3" s="24" t="s">
        <v>43</v>
      </c>
      <c r="AK3" s="24" t="s">
        <v>44</v>
      </c>
      <c r="AL3" s="24" t="s">
        <v>45</v>
      </c>
      <c r="AM3" s="24" t="s">
        <v>46</v>
      </c>
      <c r="AN3" s="24" t="s">
        <v>47</v>
      </c>
      <c r="AO3" s="24" t="s">
        <v>48</v>
      </c>
      <c r="AP3" s="24" t="s">
        <v>49</v>
      </c>
      <c r="AQ3" s="24" t="s">
        <v>50</v>
      </c>
      <c r="AR3" s="24" t="s">
        <v>51</v>
      </c>
      <c r="AS3" s="23" t="s">
        <v>52</v>
      </c>
      <c r="AT3" s="23" t="s">
        <v>53</v>
      </c>
      <c r="AU3" s="23" t="s">
        <v>54</v>
      </c>
      <c r="AV3" s="23" t="s">
        <v>55</v>
      </c>
      <c r="AW3" s="23" t="s">
        <v>56</v>
      </c>
      <c r="AX3" s="23" t="s">
        <v>57</v>
      </c>
      <c r="AY3" s="23" t="s">
        <v>58</v>
      </c>
      <c r="AZ3" s="23" t="s">
        <v>59</v>
      </c>
      <c r="BA3" s="25" t="s">
        <v>60</v>
      </c>
      <c r="BB3" s="25" t="s">
        <v>61</v>
      </c>
      <c r="BC3" s="25" t="s">
        <v>62</v>
      </c>
    </row>
    <row r="4" spans="1:55" ht="56.25">
      <c r="A4" s="26" t="s">
        <v>63</v>
      </c>
      <c r="B4" s="26" t="s">
        <v>64</v>
      </c>
      <c r="C4" s="26" t="s">
        <v>65</v>
      </c>
      <c r="D4" s="26" t="s">
        <v>65</v>
      </c>
      <c r="E4" s="26" t="s">
        <v>66</v>
      </c>
      <c r="F4" s="26" t="s">
        <v>65</v>
      </c>
      <c r="G4" s="27" t="s">
        <v>65</v>
      </c>
      <c r="H4" s="28"/>
      <c r="I4" s="29"/>
      <c r="J4" s="29"/>
      <c r="K4" s="30"/>
      <c r="L4" s="30"/>
      <c r="M4" s="7"/>
      <c r="N4" s="30"/>
      <c r="O4" s="30"/>
      <c r="P4" s="31"/>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row>
    <row r="5" spans="1:55" ht="45">
      <c r="A5" s="26" t="s">
        <v>67</v>
      </c>
      <c r="B5" s="26" t="s">
        <v>68</v>
      </c>
      <c r="C5" s="26" t="s">
        <v>65</v>
      </c>
      <c r="D5" s="26" t="s">
        <v>65</v>
      </c>
      <c r="E5" s="26" t="s">
        <v>66</v>
      </c>
      <c r="F5" s="26" t="s">
        <v>65</v>
      </c>
      <c r="G5" s="26"/>
      <c r="H5" s="26"/>
      <c r="I5" s="68"/>
      <c r="J5" s="26"/>
      <c r="K5" s="30"/>
      <c r="L5" s="30"/>
      <c r="M5" s="7"/>
      <c r="N5" s="30"/>
      <c r="O5" s="30"/>
      <c r="P5" s="31"/>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row>
    <row r="6" spans="1:55" ht="33.75">
      <c r="A6" s="26" t="s">
        <v>69</v>
      </c>
      <c r="B6" s="26" t="s">
        <v>68</v>
      </c>
      <c r="C6" s="26" t="s">
        <v>65</v>
      </c>
      <c r="D6" s="26" t="s">
        <v>65</v>
      </c>
      <c r="E6" s="26" t="s">
        <v>66</v>
      </c>
      <c r="F6" s="26" t="s">
        <v>65</v>
      </c>
      <c r="G6" s="26"/>
      <c r="H6" s="26"/>
      <c r="I6" s="68"/>
      <c r="J6" s="26"/>
      <c r="K6" s="30"/>
      <c r="L6" s="30"/>
      <c r="M6" s="7"/>
      <c r="N6" s="30"/>
      <c r="O6" s="30"/>
      <c r="P6" s="31"/>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row>
    <row r="7" spans="1:55" s="2" customFormat="1" ht="20.25" customHeight="1">
      <c r="A7" s="160" t="s">
        <v>70</v>
      </c>
      <c r="B7" s="160"/>
      <c r="C7" s="160"/>
      <c r="D7" s="160"/>
      <c r="E7" s="160"/>
      <c r="F7" s="160"/>
      <c r="G7" s="8">
        <f>SUM(G8:G26)</f>
        <v>26508782.555438291</v>
      </c>
      <c r="H7" s="8">
        <f>SUM(H8:H26)</f>
        <v>7161890.6145617031</v>
      </c>
      <c r="I7" s="11">
        <f>G7/(G7+H7)</f>
        <v>0.78729588866839684</v>
      </c>
      <c r="J7" s="8"/>
      <c r="K7" s="8"/>
      <c r="L7" s="8"/>
      <c r="M7" s="8">
        <f>SUM(M8:M26)</f>
        <v>33670673.170000002</v>
      </c>
      <c r="N7" s="33"/>
      <c r="O7" s="33"/>
      <c r="P7" s="33"/>
      <c r="Q7" s="34">
        <f t="shared" ref="Q7:AE7" si="0">SUM(Q9:Q20)</f>
        <v>0</v>
      </c>
      <c r="R7" s="34">
        <f t="shared" si="0"/>
        <v>0</v>
      </c>
      <c r="S7" s="34"/>
      <c r="T7" s="34">
        <f t="shared" si="0"/>
        <v>0</v>
      </c>
      <c r="U7" s="34">
        <f t="shared" si="0"/>
        <v>0</v>
      </c>
      <c r="V7" s="34">
        <f t="shared" si="0"/>
        <v>0</v>
      </c>
      <c r="W7" s="34">
        <f t="shared" si="0"/>
        <v>0</v>
      </c>
      <c r="X7" s="34">
        <f t="shared" si="0"/>
        <v>0</v>
      </c>
      <c r="Y7" s="34">
        <f t="shared" si="0"/>
        <v>0</v>
      </c>
      <c r="Z7" s="34">
        <f t="shared" si="0"/>
        <v>0</v>
      </c>
      <c r="AA7" s="34">
        <f t="shared" si="0"/>
        <v>0</v>
      </c>
      <c r="AB7" s="34">
        <f t="shared" si="0"/>
        <v>0</v>
      </c>
      <c r="AC7" s="34">
        <f t="shared" si="0"/>
        <v>0</v>
      </c>
      <c r="AD7" s="34">
        <f t="shared" si="0"/>
        <v>0</v>
      </c>
      <c r="AE7" s="34">
        <f t="shared" si="0"/>
        <v>0</v>
      </c>
      <c r="AF7" s="34">
        <v>15</v>
      </c>
      <c r="AG7" s="34">
        <f>SUM(AG8:AG26)</f>
        <v>20930</v>
      </c>
      <c r="AH7" s="34">
        <f>SUM(AH8:AH26)</f>
        <v>7919</v>
      </c>
      <c r="AI7" s="34">
        <f>SUM(AI8:AI26)</f>
        <v>1600</v>
      </c>
      <c r="AJ7" s="34">
        <f>SUM(AJ8:AJ26)</f>
        <v>770</v>
      </c>
      <c r="AK7" s="34">
        <f t="shared" ref="AK7:AR7" si="1">SUM(AK9:AK26)</f>
        <v>3</v>
      </c>
      <c r="AL7" s="34">
        <f t="shared" si="1"/>
        <v>0</v>
      </c>
      <c r="AM7" s="34">
        <f t="shared" si="1"/>
        <v>0</v>
      </c>
      <c r="AN7" s="34">
        <f t="shared" si="1"/>
        <v>15</v>
      </c>
      <c r="AO7" s="34">
        <f t="shared" si="1"/>
        <v>2205</v>
      </c>
      <c r="AP7" s="34">
        <f t="shared" si="1"/>
        <v>12551</v>
      </c>
      <c r="AQ7" s="34">
        <f t="shared" si="1"/>
        <v>0</v>
      </c>
      <c r="AR7" s="34">
        <f t="shared" si="1"/>
        <v>0</v>
      </c>
      <c r="AS7" s="34"/>
      <c r="AT7" s="34"/>
      <c r="AU7" s="34"/>
      <c r="AV7" s="34"/>
      <c r="AW7" s="34"/>
      <c r="AX7" s="34"/>
      <c r="AY7" s="34"/>
      <c r="AZ7" s="34"/>
      <c r="BA7" s="34"/>
      <c r="BB7" s="34"/>
      <c r="BC7" s="34"/>
    </row>
    <row r="8" spans="1:55" ht="45">
      <c r="A8" s="102" t="s">
        <v>71</v>
      </c>
      <c r="B8" s="102" t="s">
        <v>72</v>
      </c>
      <c r="C8" s="102" t="s">
        <v>73</v>
      </c>
      <c r="D8" s="102" t="s">
        <v>74</v>
      </c>
      <c r="E8" s="102" t="s">
        <v>66</v>
      </c>
      <c r="F8" s="102" t="s">
        <v>75</v>
      </c>
      <c r="G8" s="9">
        <f>M8*I8</f>
        <v>1350000</v>
      </c>
      <c r="H8" s="9">
        <f>M8*0.1</f>
        <v>150000</v>
      </c>
      <c r="I8" s="52">
        <v>0.9</v>
      </c>
      <c r="J8" s="102" t="s">
        <v>76</v>
      </c>
      <c r="K8" s="102" t="s">
        <v>77</v>
      </c>
      <c r="L8" s="102" t="s">
        <v>78</v>
      </c>
      <c r="M8" s="9">
        <v>1500000</v>
      </c>
      <c r="N8" s="102" t="s">
        <v>79</v>
      </c>
      <c r="O8" s="102" t="s">
        <v>80</v>
      </c>
      <c r="P8" s="35" t="s">
        <v>81</v>
      </c>
      <c r="Q8" s="36"/>
      <c r="R8" s="37"/>
      <c r="S8" s="37"/>
      <c r="T8" s="37"/>
      <c r="U8" s="37"/>
      <c r="V8" s="37"/>
      <c r="W8" s="37"/>
      <c r="X8" s="37"/>
      <c r="Y8" s="37"/>
      <c r="Z8" s="37"/>
      <c r="AA8" s="37"/>
      <c r="AB8" s="37"/>
      <c r="AC8" s="37"/>
      <c r="AD8" s="37"/>
      <c r="AE8" s="38"/>
      <c r="AF8" s="38"/>
      <c r="AG8" s="39">
        <v>1500</v>
      </c>
      <c r="AH8" s="39">
        <v>500</v>
      </c>
      <c r="AI8" s="38"/>
      <c r="AJ8" s="39">
        <v>500</v>
      </c>
      <c r="AK8" s="38"/>
      <c r="AL8" s="38"/>
      <c r="AM8" s="38"/>
      <c r="AN8" s="38"/>
      <c r="AO8" s="38"/>
      <c r="AP8" s="39">
        <f>1500*0.4</f>
        <v>600</v>
      </c>
      <c r="AQ8" s="38"/>
      <c r="AR8" s="38"/>
      <c r="AS8" s="81"/>
      <c r="AT8" s="81"/>
      <c r="AU8" s="81"/>
      <c r="AV8" s="81"/>
      <c r="AW8" s="81"/>
      <c r="AX8" s="81"/>
      <c r="AY8" s="81"/>
      <c r="AZ8" s="81"/>
      <c r="BA8" s="81"/>
      <c r="BB8" s="81"/>
      <c r="BC8" s="81"/>
    </row>
    <row r="9" spans="1:55" ht="33.75">
      <c r="A9" s="26" t="s">
        <v>82</v>
      </c>
      <c r="B9" s="26" t="s">
        <v>72</v>
      </c>
      <c r="C9" s="26" t="s">
        <v>83</v>
      </c>
      <c r="D9" s="26" t="s">
        <v>74</v>
      </c>
      <c r="E9" s="26" t="s">
        <v>84</v>
      </c>
      <c r="F9" s="26" t="s">
        <v>75</v>
      </c>
      <c r="G9" s="119">
        <v>2661747.2250000001</v>
      </c>
      <c r="H9" s="119">
        <v>887249.07499999995</v>
      </c>
      <c r="I9" s="41">
        <f>G9/(G9+H9)</f>
        <v>0.75000000000000011</v>
      </c>
      <c r="J9" s="41" t="s">
        <v>85</v>
      </c>
      <c r="K9" s="26" t="s">
        <v>86</v>
      </c>
      <c r="L9" s="26" t="s">
        <v>87</v>
      </c>
      <c r="M9" s="120">
        <v>3548996.3</v>
      </c>
      <c r="N9" s="42" t="s">
        <v>88</v>
      </c>
      <c r="O9" s="42" t="s">
        <v>80</v>
      </c>
      <c r="P9" s="35" t="s">
        <v>89</v>
      </c>
      <c r="Q9" s="36"/>
      <c r="R9" s="37"/>
      <c r="S9" s="37"/>
      <c r="T9" s="37"/>
      <c r="U9" s="37"/>
      <c r="V9" s="37"/>
      <c r="W9" s="37"/>
      <c r="X9" s="37"/>
      <c r="Y9" s="37"/>
      <c r="Z9" s="37"/>
      <c r="AA9" s="37"/>
      <c r="AB9" s="37"/>
      <c r="AC9" s="37"/>
      <c r="AD9" s="37"/>
      <c r="AE9" s="38"/>
      <c r="AF9" s="39">
        <v>15</v>
      </c>
      <c r="AG9" s="38"/>
      <c r="AH9" s="38"/>
      <c r="AI9" s="38"/>
      <c r="AJ9" s="38"/>
      <c r="AK9" s="38"/>
      <c r="AL9" s="38"/>
      <c r="AM9" s="38"/>
      <c r="AN9" s="38"/>
      <c r="AO9" s="38"/>
      <c r="AP9" s="38"/>
      <c r="AQ9" s="38"/>
      <c r="AR9" s="38"/>
      <c r="AS9" s="37"/>
      <c r="AT9" s="37"/>
      <c r="AU9" s="37"/>
      <c r="AV9" s="37"/>
      <c r="AW9" s="37"/>
      <c r="AX9" s="37"/>
      <c r="AY9" s="37"/>
      <c r="AZ9" s="37"/>
      <c r="BA9" s="37"/>
      <c r="BB9" s="37"/>
      <c r="BC9" s="37"/>
    </row>
    <row r="10" spans="1:55" ht="56.25">
      <c r="A10" s="127" t="s">
        <v>90</v>
      </c>
      <c r="B10" s="103" t="s">
        <v>72</v>
      </c>
      <c r="C10" s="103" t="s">
        <v>91</v>
      </c>
      <c r="D10" s="26" t="s">
        <v>92</v>
      </c>
      <c r="E10" s="26" t="s">
        <v>66</v>
      </c>
      <c r="F10" s="26" t="s">
        <v>75</v>
      </c>
      <c r="G10" s="9">
        <v>262500</v>
      </c>
      <c r="H10" s="9">
        <v>87500</v>
      </c>
      <c r="I10" s="41">
        <f>G10/(G10+H10)</f>
        <v>0.75</v>
      </c>
      <c r="J10" s="41" t="s">
        <v>93</v>
      </c>
      <c r="K10" s="42" t="s">
        <v>94</v>
      </c>
      <c r="L10" s="26" t="s">
        <v>95</v>
      </c>
      <c r="M10" s="9">
        <v>350000</v>
      </c>
      <c r="N10" s="42" t="s">
        <v>96</v>
      </c>
      <c r="O10" s="42" t="s">
        <v>80</v>
      </c>
      <c r="P10" s="35" t="s">
        <v>89</v>
      </c>
      <c r="Q10" s="37"/>
      <c r="R10" s="37"/>
      <c r="S10" s="37"/>
      <c r="T10" s="37"/>
      <c r="U10" s="37"/>
      <c r="V10" s="37"/>
      <c r="W10" s="37"/>
      <c r="X10" s="37"/>
      <c r="Y10" s="37"/>
      <c r="Z10" s="37"/>
      <c r="AA10" s="37"/>
      <c r="AB10" s="37"/>
      <c r="AC10" s="37"/>
      <c r="AD10" s="37"/>
      <c r="AE10" s="38"/>
      <c r="AF10" s="38"/>
      <c r="AG10" s="38"/>
      <c r="AH10" s="38"/>
      <c r="AI10" s="38"/>
      <c r="AJ10" s="38"/>
      <c r="AK10" s="38"/>
      <c r="AL10" s="38"/>
      <c r="AM10" s="38"/>
      <c r="AN10" s="38"/>
      <c r="AO10" s="38"/>
      <c r="AP10" s="38"/>
      <c r="AQ10" s="38"/>
      <c r="AR10" s="38"/>
      <c r="AS10" s="37"/>
      <c r="AT10" s="37"/>
      <c r="AU10" s="37"/>
      <c r="AV10" s="37"/>
      <c r="AW10" s="37"/>
      <c r="AX10" s="37"/>
      <c r="AY10" s="37"/>
      <c r="AZ10" s="37"/>
      <c r="BA10" s="37"/>
      <c r="BB10" s="37"/>
      <c r="BC10" s="37"/>
    </row>
    <row r="11" spans="1:55" ht="56.25">
      <c r="A11" s="125"/>
      <c r="B11" s="42" t="s">
        <v>72</v>
      </c>
      <c r="C11" s="9" t="s">
        <v>97</v>
      </c>
      <c r="D11" s="42" t="s">
        <v>92</v>
      </c>
      <c r="E11" s="42" t="s">
        <v>66</v>
      </c>
      <c r="F11" s="42" t="s">
        <v>75</v>
      </c>
      <c r="G11" s="121">
        <f>400000*I11</f>
        <v>360000</v>
      </c>
      <c r="H11" s="9">
        <f>400000*0.1</f>
        <v>40000</v>
      </c>
      <c r="I11" s="43">
        <v>0.9</v>
      </c>
      <c r="J11" s="102" t="s">
        <v>76</v>
      </c>
      <c r="K11" s="42" t="s">
        <v>98</v>
      </c>
      <c r="L11" s="42" t="s">
        <v>95</v>
      </c>
      <c r="M11" s="9">
        <v>400000</v>
      </c>
      <c r="N11" s="9" t="s">
        <v>99</v>
      </c>
      <c r="O11" s="42" t="s">
        <v>80</v>
      </c>
      <c r="P11" s="35" t="s">
        <v>89</v>
      </c>
      <c r="Q11" s="37"/>
      <c r="R11" s="37"/>
      <c r="S11" s="37"/>
      <c r="T11" s="37"/>
      <c r="U11" s="37"/>
      <c r="V11" s="37"/>
      <c r="W11" s="37"/>
      <c r="X11" s="37"/>
      <c r="Y11" s="37"/>
      <c r="Z11" s="37"/>
      <c r="AA11" s="37"/>
      <c r="AB11" s="37"/>
      <c r="AC11" s="37"/>
      <c r="AD11" s="37"/>
      <c r="AE11" s="38"/>
      <c r="AF11" s="38"/>
      <c r="AG11" s="38"/>
      <c r="AH11" s="38"/>
      <c r="AI11" s="38"/>
      <c r="AJ11" s="38"/>
      <c r="AK11" s="38"/>
      <c r="AL11" s="38"/>
      <c r="AM11" s="38"/>
      <c r="AN11" s="38"/>
      <c r="AO11" s="38"/>
      <c r="AP11" s="38"/>
      <c r="AQ11" s="38"/>
      <c r="AR11" s="38"/>
      <c r="AS11" s="37"/>
      <c r="AT11" s="37"/>
      <c r="AU11" s="37"/>
      <c r="AV11" s="37"/>
      <c r="AW11" s="37"/>
      <c r="AX11" s="37"/>
      <c r="AY11" s="37"/>
      <c r="AZ11" s="37"/>
      <c r="BA11" s="37"/>
      <c r="BB11" s="37"/>
      <c r="BC11" s="37"/>
    </row>
    <row r="12" spans="1:55" ht="67.5">
      <c r="A12" s="127" t="s">
        <v>100</v>
      </c>
      <c r="B12" s="26" t="s">
        <v>72</v>
      </c>
      <c r="C12" s="73" t="s">
        <v>101</v>
      </c>
      <c r="D12" s="26" t="s">
        <v>74</v>
      </c>
      <c r="E12" s="26" t="s">
        <v>66</v>
      </c>
      <c r="F12" s="26" t="s">
        <v>75</v>
      </c>
      <c r="G12" s="9">
        <f>500000*0.75</f>
        <v>375000</v>
      </c>
      <c r="H12" s="9">
        <f>500000*0.25</f>
        <v>125000</v>
      </c>
      <c r="I12" s="41">
        <v>0.75</v>
      </c>
      <c r="J12" s="41" t="s">
        <v>93</v>
      </c>
      <c r="K12" s="42" t="s">
        <v>102</v>
      </c>
      <c r="L12" s="26" t="s">
        <v>103</v>
      </c>
      <c r="M12" s="9">
        <v>500000</v>
      </c>
      <c r="N12" s="42" t="s">
        <v>104</v>
      </c>
      <c r="O12" s="42" t="s">
        <v>80</v>
      </c>
      <c r="P12" s="35" t="s">
        <v>81</v>
      </c>
      <c r="Q12" s="37"/>
      <c r="R12" s="37"/>
      <c r="S12" s="37"/>
      <c r="T12" s="37"/>
      <c r="U12" s="37"/>
      <c r="V12" s="37"/>
      <c r="W12" s="37"/>
      <c r="X12" s="37"/>
      <c r="Y12" s="37"/>
      <c r="Z12" s="37"/>
      <c r="AA12" s="37"/>
      <c r="AB12" s="37"/>
      <c r="AC12" s="37"/>
      <c r="AD12" s="37"/>
      <c r="AE12" s="38"/>
      <c r="AF12" s="38"/>
      <c r="AG12" s="38"/>
      <c r="AH12" s="38"/>
      <c r="AI12" s="39">
        <v>15</v>
      </c>
      <c r="AJ12" s="38"/>
      <c r="AK12" s="38"/>
      <c r="AL12" s="38"/>
      <c r="AM12" s="38"/>
      <c r="AN12" s="38"/>
      <c r="AO12" s="38"/>
      <c r="AP12" s="38"/>
      <c r="AQ12" s="38"/>
      <c r="AR12" s="38"/>
      <c r="AS12" s="37"/>
      <c r="AT12" s="37"/>
      <c r="AU12" s="37"/>
      <c r="AV12" s="37"/>
      <c r="AW12" s="37"/>
      <c r="AX12" s="37"/>
      <c r="AY12" s="37"/>
      <c r="AZ12" s="37"/>
      <c r="BA12" s="37"/>
      <c r="BB12" s="37"/>
      <c r="BC12" s="37"/>
    </row>
    <row r="13" spans="1:55" ht="45">
      <c r="A13" s="125"/>
      <c r="B13" s="42" t="s">
        <v>72</v>
      </c>
      <c r="C13" s="9" t="s">
        <v>101</v>
      </c>
      <c r="D13" s="42" t="s">
        <v>74</v>
      </c>
      <c r="E13" s="42" t="s">
        <v>66</v>
      </c>
      <c r="F13" s="42" t="s">
        <v>75</v>
      </c>
      <c r="G13" s="42">
        <f>300000+0.25-111584.81</f>
        <v>188415.44</v>
      </c>
      <c r="H13" s="42">
        <f>100000+0.08+111584.81</f>
        <v>211584.89</v>
      </c>
      <c r="I13" s="43">
        <f>G13/(G13+H13)</f>
        <v>0.47103821139347557</v>
      </c>
      <c r="J13" s="43" t="s">
        <v>93</v>
      </c>
      <c r="K13" s="42" t="s">
        <v>105</v>
      </c>
      <c r="L13" s="42" t="s">
        <v>106</v>
      </c>
      <c r="M13" s="42">
        <v>400000.33</v>
      </c>
      <c r="N13" s="9" t="s">
        <v>107</v>
      </c>
      <c r="O13" s="42" t="s">
        <v>80</v>
      </c>
      <c r="P13" s="35" t="s">
        <v>81</v>
      </c>
      <c r="Q13" s="37"/>
      <c r="R13" s="37"/>
      <c r="S13" s="37"/>
      <c r="T13" s="37"/>
      <c r="U13" s="37"/>
      <c r="V13" s="37"/>
      <c r="W13" s="37"/>
      <c r="X13" s="37"/>
      <c r="Y13" s="37"/>
      <c r="Z13" s="37"/>
      <c r="AA13" s="37"/>
      <c r="AB13" s="37"/>
      <c r="AC13" s="37"/>
      <c r="AD13" s="37"/>
      <c r="AE13" s="38"/>
      <c r="AF13" s="38"/>
      <c r="AG13" s="38"/>
      <c r="AH13" s="38"/>
      <c r="AI13" s="39">
        <v>150</v>
      </c>
      <c r="AJ13" s="38"/>
      <c r="AK13" s="38"/>
      <c r="AL13" s="38"/>
      <c r="AM13" s="38"/>
      <c r="AN13" s="38"/>
      <c r="AO13" s="38"/>
      <c r="AP13" s="38"/>
      <c r="AQ13" s="38"/>
      <c r="AR13" s="38"/>
      <c r="AS13" s="37"/>
      <c r="AT13" s="37"/>
      <c r="AU13" s="37"/>
      <c r="AV13" s="37"/>
      <c r="AW13" s="37"/>
      <c r="AX13" s="37"/>
      <c r="AY13" s="37"/>
      <c r="AZ13" s="37"/>
      <c r="BA13" s="37"/>
      <c r="BB13" s="37"/>
      <c r="BC13" s="37"/>
    </row>
    <row r="14" spans="1:55" ht="90">
      <c r="A14" s="127" t="s">
        <v>108</v>
      </c>
      <c r="B14" s="103" t="s">
        <v>92</v>
      </c>
      <c r="C14" s="26" t="s">
        <v>109</v>
      </c>
      <c r="D14" s="26" t="s">
        <v>74</v>
      </c>
      <c r="E14" s="26" t="s">
        <v>66</v>
      </c>
      <c r="F14" s="26" t="s">
        <v>75</v>
      </c>
      <c r="G14" s="40">
        <v>209250</v>
      </c>
      <c r="H14" s="40">
        <v>490750</v>
      </c>
      <c r="I14" s="41">
        <f>G14/(G14+H14)</f>
        <v>0.29892857142857143</v>
      </c>
      <c r="J14" s="41" t="s">
        <v>93</v>
      </c>
      <c r="K14" s="42" t="s">
        <v>110</v>
      </c>
      <c r="L14" s="26" t="s">
        <v>78</v>
      </c>
      <c r="M14" s="9">
        <v>700000</v>
      </c>
      <c r="N14" s="42" t="s">
        <v>111</v>
      </c>
      <c r="O14" s="42" t="s">
        <v>80</v>
      </c>
      <c r="P14" s="35" t="s">
        <v>112</v>
      </c>
      <c r="Q14" s="37"/>
      <c r="R14" s="37"/>
      <c r="S14" s="37"/>
      <c r="T14" s="37"/>
      <c r="U14" s="37"/>
      <c r="V14" s="37"/>
      <c r="W14" s="37"/>
      <c r="X14" s="37"/>
      <c r="Y14" s="37"/>
      <c r="Z14" s="37"/>
      <c r="AA14" s="37"/>
      <c r="AB14" s="37"/>
      <c r="AC14" s="37"/>
      <c r="AD14" s="37"/>
      <c r="AE14" s="144"/>
      <c r="AF14" s="144"/>
      <c r="AG14" s="144"/>
      <c r="AH14" s="144"/>
      <c r="AI14" s="144"/>
      <c r="AJ14" s="144"/>
      <c r="AK14" s="145">
        <v>3</v>
      </c>
      <c r="AL14" s="144"/>
      <c r="AM14" s="144"/>
      <c r="AN14" s="144"/>
      <c r="AO14" s="144"/>
      <c r="AP14" s="144"/>
      <c r="AQ14" s="144"/>
      <c r="AR14" s="144"/>
      <c r="AS14" s="37"/>
      <c r="AT14" s="37"/>
      <c r="AU14" s="37"/>
      <c r="AV14" s="37"/>
      <c r="AW14" s="37"/>
      <c r="AX14" s="37"/>
      <c r="AY14" s="37"/>
      <c r="AZ14" s="37"/>
      <c r="BA14" s="37"/>
      <c r="BB14" s="37"/>
      <c r="BC14" s="37"/>
    </row>
    <row r="15" spans="1:55" ht="90">
      <c r="A15" s="125"/>
      <c r="B15" s="103" t="s">
        <v>92</v>
      </c>
      <c r="C15" s="26" t="s">
        <v>109</v>
      </c>
      <c r="D15" s="26" t="s">
        <v>74</v>
      </c>
      <c r="E15" s="26" t="s">
        <v>66</v>
      </c>
      <c r="F15" s="26" t="s">
        <v>75</v>
      </c>
      <c r="G15" s="40">
        <f>M15*I15</f>
        <v>675000</v>
      </c>
      <c r="H15" s="40">
        <f>M15*0.1</f>
        <v>75000</v>
      </c>
      <c r="I15" s="41">
        <v>0.9</v>
      </c>
      <c r="J15" s="102" t="s">
        <v>76</v>
      </c>
      <c r="K15" s="42" t="s">
        <v>110</v>
      </c>
      <c r="L15" s="26" t="s">
        <v>78</v>
      </c>
      <c r="M15" s="9">
        <v>750000</v>
      </c>
      <c r="N15" s="42" t="s">
        <v>113</v>
      </c>
      <c r="O15" s="42" t="s">
        <v>80</v>
      </c>
      <c r="P15" s="35" t="s">
        <v>114</v>
      </c>
      <c r="Q15" s="37"/>
      <c r="R15" s="37"/>
      <c r="S15" s="37"/>
      <c r="T15" s="37"/>
      <c r="U15" s="37"/>
      <c r="V15" s="37"/>
      <c r="W15" s="37"/>
      <c r="X15" s="37"/>
      <c r="Y15" s="37"/>
      <c r="Z15" s="37"/>
      <c r="AA15" s="37"/>
      <c r="AB15" s="37"/>
      <c r="AC15" s="37"/>
      <c r="AD15" s="37"/>
      <c r="AE15" s="144"/>
      <c r="AF15" s="144"/>
      <c r="AG15" s="144"/>
      <c r="AH15" s="144"/>
      <c r="AI15" s="144"/>
      <c r="AJ15" s="144"/>
      <c r="AK15" s="145"/>
      <c r="AL15" s="144"/>
      <c r="AM15" s="144"/>
      <c r="AN15" s="144"/>
      <c r="AO15" s="144"/>
      <c r="AP15" s="144"/>
      <c r="AQ15" s="144"/>
      <c r="AR15" s="144"/>
      <c r="AS15" s="37"/>
      <c r="AT15" s="37"/>
      <c r="AU15" s="37"/>
      <c r="AV15" s="37"/>
      <c r="AW15" s="37"/>
      <c r="AX15" s="37"/>
      <c r="AY15" s="37"/>
      <c r="AZ15" s="37"/>
      <c r="BA15" s="37"/>
      <c r="BB15" s="37"/>
      <c r="BC15" s="37"/>
    </row>
    <row r="16" spans="1:55" ht="65.45" customHeight="1">
      <c r="A16" s="26" t="s">
        <v>115</v>
      </c>
      <c r="B16" s="26" t="s">
        <v>72</v>
      </c>
      <c r="C16" s="26" t="s">
        <v>97</v>
      </c>
      <c r="D16" s="26" t="s">
        <v>92</v>
      </c>
      <c r="E16" s="26" t="s">
        <v>66</v>
      </c>
      <c r="F16" s="26" t="s">
        <v>75</v>
      </c>
      <c r="G16" s="26">
        <v>0</v>
      </c>
      <c r="H16" s="26">
        <v>0</v>
      </c>
      <c r="I16" s="26" t="s">
        <v>116</v>
      </c>
      <c r="J16" s="26" t="s">
        <v>93</v>
      </c>
      <c r="K16" s="26" t="s">
        <v>117</v>
      </c>
      <c r="L16" s="26" t="s">
        <v>95</v>
      </c>
      <c r="M16" s="26">
        <v>0</v>
      </c>
      <c r="N16" s="26" t="s">
        <v>118</v>
      </c>
      <c r="O16" s="26" t="s">
        <v>118</v>
      </c>
      <c r="P16" s="101" t="s">
        <v>119</v>
      </c>
      <c r="Q16" s="37"/>
      <c r="R16" s="37"/>
      <c r="S16" s="37"/>
      <c r="T16" s="37"/>
      <c r="U16" s="37"/>
      <c r="V16" s="37"/>
      <c r="W16" s="37"/>
      <c r="X16" s="37"/>
      <c r="Y16" s="37"/>
      <c r="Z16" s="37"/>
      <c r="AA16" s="37"/>
      <c r="AB16" s="37"/>
      <c r="AC16" s="37"/>
      <c r="AD16" s="37"/>
      <c r="AE16" s="38"/>
      <c r="AF16" s="38"/>
      <c r="AG16" s="38"/>
      <c r="AH16" s="38"/>
      <c r="AI16" s="38"/>
      <c r="AJ16" s="38"/>
      <c r="AK16" s="38"/>
      <c r="AL16" s="38"/>
      <c r="AM16" s="38"/>
      <c r="AN16" s="38"/>
      <c r="AO16" s="38"/>
      <c r="AP16" s="38"/>
      <c r="AQ16" s="38"/>
      <c r="AR16" s="38"/>
      <c r="AS16" s="37"/>
      <c r="AT16" s="37"/>
      <c r="AU16" s="37"/>
      <c r="AV16" s="37"/>
      <c r="AW16" s="37"/>
      <c r="AX16" s="37"/>
      <c r="AY16" s="37"/>
      <c r="AZ16" s="37"/>
      <c r="BA16" s="37"/>
      <c r="BB16" s="37"/>
      <c r="BC16" s="37"/>
    </row>
    <row r="17" spans="1:55" ht="56.25">
      <c r="A17" s="26" t="s">
        <v>120</v>
      </c>
      <c r="B17" s="26" t="s">
        <v>72</v>
      </c>
      <c r="C17" s="26" t="s">
        <v>101</v>
      </c>
      <c r="D17" s="26" t="s">
        <v>74</v>
      </c>
      <c r="E17" s="26" t="s">
        <v>66</v>
      </c>
      <c r="F17" s="26" t="s">
        <v>75</v>
      </c>
      <c r="G17" s="40">
        <v>3750000</v>
      </c>
      <c r="H17" s="40">
        <v>1250000</v>
      </c>
      <c r="I17" s="41">
        <f>G17/(G17+H17)</f>
        <v>0.75</v>
      </c>
      <c r="J17" s="41" t="s">
        <v>93</v>
      </c>
      <c r="K17" s="42" t="s">
        <v>121</v>
      </c>
      <c r="L17" s="42" t="s">
        <v>103</v>
      </c>
      <c r="M17" s="9">
        <v>5000000</v>
      </c>
      <c r="N17" s="42" t="s">
        <v>122</v>
      </c>
      <c r="O17" s="42" t="s">
        <v>80</v>
      </c>
      <c r="P17" s="35" t="s">
        <v>114</v>
      </c>
      <c r="Q17" s="37"/>
      <c r="R17" s="37"/>
      <c r="S17" s="37"/>
      <c r="T17" s="37"/>
      <c r="U17" s="37"/>
      <c r="V17" s="37"/>
      <c r="W17" s="37"/>
      <c r="X17" s="37"/>
      <c r="Y17" s="37"/>
      <c r="Z17" s="37"/>
      <c r="AA17" s="37"/>
      <c r="AB17" s="37"/>
      <c r="AC17" s="37"/>
      <c r="AD17" s="37"/>
      <c r="AE17" s="38"/>
      <c r="AF17" s="38"/>
      <c r="AG17" s="39">
        <v>580</v>
      </c>
      <c r="AH17" s="38"/>
      <c r="AI17" s="38"/>
      <c r="AJ17" s="38"/>
      <c r="AK17" s="38"/>
      <c r="AL17" s="38"/>
      <c r="AM17" s="38"/>
      <c r="AN17" s="38"/>
      <c r="AO17" s="38"/>
      <c r="AP17" s="39">
        <v>406</v>
      </c>
      <c r="AQ17" s="38"/>
      <c r="AR17" s="38"/>
      <c r="AS17" s="37"/>
      <c r="AT17" s="37"/>
      <c r="AU17" s="37"/>
      <c r="AV17" s="37"/>
      <c r="AW17" s="37"/>
      <c r="AX17" s="37"/>
      <c r="AY17" s="37"/>
      <c r="AZ17" s="37"/>
      <c r="BA17" s="37"/>
      <c r="BB17" s="37"/>
      <c r="BC17" s="37"/>
    </row>
    <row r="18" spans="1:55" ht="33.75">
      <c r="A18" s="164" t="s">
        <v>123</v>
      </c>
      <c r="B18" s="164" t="s">
        <v>72</v>
      </c>
      <c r="C18" s="166" t="s">
        <v>124</v>
      </c>
      <c r="D18" s="164" t="s">
        <v>74</v>
      </c>
      <c r="E18" s="164" t="s">
        <v>66</v>
      </c>
      <c r="F18" s="164" t="s">
        <v>75</v>
      </c>
      <c r="G18" s="156">
        <f>SUM(M18:M19)*I18</f>
        <v>4950000</v>
      </c>
      <c r="H18" s="156">
        <f>SUM(M18:M19)-G18</f>
        <v>550000</v>
      </c>
      <c r="I18" s="158">
        <v>0.9</v>
      </c>
      <c r="J18" s="127" t="s">
        <v>76</v>
      </c>
      <c r="K18" s="42" t="s">
        <v>125</v>
      </c>
      <c r="L18" s="42" t="s">
        <v>78</v>
      </c>
      <c r="M18" s="43">
        <v>550000</v>
      </c>
      <c r="N18" s="42" t="s">
        <v>126</v>
      </c>
      <c r="O18" s="42" t="s">
        <v>80</v>
      </c>
      <c r="P18" s="35" t="s">
        <v>127</v>
      </c>
      <c r="Q18" s="37"/>
      <c r="R18" s="37"/>
      <c r="S18" s="37"/>
      <c r="T18" s="37"/>
      <c r="U18" s="37"/>
      <c r="V18" s="37"/>
      <c r="W18" s="37"/>
      <c r="X18" s="37"/>
      <c r="Y18" s="37"/>
      <c r="Z18" s="37"/>
      <c r="AA18" s="37"/>
      <c r="AB18" s="37"/>
      <c r="AC18" s="37"/>
      <c r="AD18" s="37"/>
      <c r="AE18" s="38"/>
      <c r="AF18" s="38"/>
      <c r="AG18" s="38"/>
      <c r="AH18" s="38"/>
      <c r="AI18" s="38"/>
      <c r="AJ18" s="38"/>
      <c r="AK18" s="38"/>
      <c r="AL18" s="38"/>
      <c r="AM18" s="38"/>
      <c r="AN18" s="38"/>
      <c r="AO18" s="38"/>
      <c r="AP18" s="38"/>
      <c r="AQ18" s="38"/>
      <c r="AR18" s="38"/>
      <c r="AS18" s="37"/>
      <c r="AT18" s="37"/>
      <c r="AU18" s="37"/>
      <c r="AV18" s="37"/>
      <c r="AW18" s="37"/>
      <c r="AX18" s="37"/>
      <c r="AY18" s="37"/>
      <c r="AZ18" s="37"/>
      <c r="BA18" s="37"/>
      <c r="BB18" s="37"/>
      <c r="BC18" s="37"/>
    </row>
    <row r="19" spans="1:55" ht="33.75">
      <c r="A19" s="165"/>
      <c r="B19" s="165"/>
      <c r="C19" s="167"/>
      <c r="D19" s="165"/>
      <c r="E19" s="165"/>
      <c r="F19" s="165"/>
      <c r="G19" s="157"/>
      <c r="H19" s="157"/>
      <c r="I19" s="159"/>
      <c r="J19" s="125"/>
      <c r="K19" s="42" t="s">
        <v>128</v>
      </c>
      <c r="L19" s="42" t="s">
        <v>78</v>
      </c>
      <c r="M19" s="43">
        <v>4950000</v>
      </c>
      <c r="N19" s="42" t="s">
        <v>129</v>
      </c>
      <c r="O19" s="42" t="s">
        <v>80</v>
      </c>
      <c r="P19" s="35" t="s">
        <v>127</v>
      </c>
      <c r="Q19" s="37"/>
      <c r="R19" s="37"/>
      <c r="S19" s="37"/>
      <c r="T19" s="37"/>
      <c r="U19" s="37"/>
      <c r="V19" s="37"/>
      <c r="W19" s="37"/>
      <c r="X19" s="37"/>
      <c r="Y19" s="37"/>
      <c r="Z19" s="37"/>
      <c r="AA19" s="37"/>
      <c r="AB19" s="37"/>
      <c r="AC19" s="37"/>
      <c r="AD19" s="37"/>
      <c r="AE19" s="44"/>
      <c r="AF19" s="44"/>
      <c r="AG19" s="45">
        <v>6300</v>
      </c>
      <c r="AH19" s="45">
        <v>6300</v>
      </c>
      <c r="AI19" s="46"/>
      <c r="AJ19" s="46"/>
      <c r="AK19" s="46"/>
      <c r="AL19" s="46"/>
      <c r="AM19" s="46"/>
      <c r="AN19" s="46"/>
      <c r="AO19" s="39">
        <f>AP19/2</f>
        <v>2205</v>
      </c>
      <c r="AP19" s="45">
        <f>AH19*0.7</f>
        <v>4410</v>
      </c>
      <c r="AQ19" s="44"/>
      <c r="AR19" s="44"/>
      <c r="AS19" s="47"/>
      <c r="AT19" s="47"/>
      <c r="AU19" s="47"/>
      <c r="AV19" s="47"/>
      <c r="AW19" s="47"/>
      <c r="AX19" s="47"/>
      <c r="AY19" s="47"/>
      <c r="AZ19" s="47"/>
      <c r="BA19" s="47"/>
      <c r="BB19" s="47"/>
      <c r="BC19" s="47"/>
    </row>
    <row r="20" spans="1:55" ht="56.25">
      <c r="A20" s="103" t="s">
        <v>130</v>
      </c>
      <c r="B20" s="103" t="s">
        <v>72</v>
      </c>
      <c r="C20" s="103" t="s">
        <v>131</v>
      </c>
      <c r="D20" s="103" t="s">
        <v>74</v>
      </c>
      <c r="E20" s="103" t="s">
        <v>66</v>
      </c>
      <c r="F20" s="103" t="s">
        <v>75</v>
      </c>
      <c r="G20" s="123">
        <v>6329687.04687778</v>
      </c>
      <c r="H20" s="123">
        <v>2109894.9531222172</v>
      </c>
      <c r="I20" s="48">
        <f>G20/(G20+H20)</f>
        <v>0.75000006479915504</v>
      </c>
      <c r="J20" s="48" t="s">
        <v>93</v>
      </c>
      <c r="K20" s="122" t="s">
        <v>132</v>
      </c>
      <c r="L20" s="122" t="s">
        <v>78</v>
      </c>
      <c r="M20" s="10">
        <f>H20+G20</f>
        <v>8439581.9999999963</v>
      </c>
      <c r="N20" s="122" t="s">
        <v>133</v>
      </c>
      <c r="O20" s="122" t="s">
        <v>134</v>
      </c>
      <c r="P20" s="49" t="s">
        <v>114</v>
      </c>
      <c r="Q20" s="37"/>
      <c r="R20" s="37"/>
      <c r="S20" s="37"/>
      <c r="T20" s="37"/>
      <c r="U20" s="37"/>
      <c r="V20" s="37"/>
      <c r="W20" s="37"/>
      <c r="X20" s="37"/>
      <c r="Y20" s="37"/>
      <c r="Z20" s="37"/>
      <c r="AA20" s="37"/>
      <c r="AB20" s="37"/>
      <c r="AC20" s="37"/>
      <c r="AD20" s="37"/>
      <c r="AE20" s="38"/>
      <c r="AF20" s="38"/>
      <c r="AG20" s="64">
        <v>6828</v>
      </c>
      <c r="AH20" s="64">
        <v>926</v>
      </c>
      <c r="AI20" s="64">
        <v>975</v>
      </c>
      <c r="AJ20" s="46"/>
      <c r="AK20" s="46"/>
      <c r="AL20" s="46"/>
      <c r="AM20" s="46"/>
      <c r="AN20" s="64">
        <v>15</v>
      </c>
      <c r="AO20" s="104"/>
      <c r="AP20" s="64">
        <v>4779</v>
      </c>
      <c r="AQ20" s="38"/>
      <c r="AR20" s="38"/>
      <c r="AS20" s="37"/>
      <c r="AT20" s="37"/>
      <c r="AU20" s="37"/>
      <c r="AV20" s="37"/>
      <c r="AW20" s="37"/>
      <c r="AX20" s="37"/>
      <c r="AY20" s="37"/>
      <c r="AZ20" s="37"/>
      <c r="BA20" s="37"/>
      <c r="BB20" s="37"/>
      <c r="BC20" s="37"/>
    </row>
    <row r="21" spans="1:55" ht="56.25">
      <c r="A21" s="82" t="s">
        <v>135</v>
      </c>
      <c r="B21" s="82" t="s">
        <v>72</v>
      </c>
      <c r="C21" s="82" t="s">
        <v>91</v>
      </c>
      <c r="D21" s="82" t="s">
        <v>92</v>
      </c>
      <c r="E21" s="83" t="s">
        <v>66</v>
      </c>
      <c r="F21" s="83" t="s">
        <v>75</v>
      </c>
      <c r="G21" s="84"/>
      <c r="H21" s="85"/>
      <c r="I21" s="86"/>
      <c r="J21" s="87" t="s">
        <v>136</v>
      </c>
      <c r="K21" s="85" t="s">
        <v>135</v>
      </c>
      <c r="L21" s="88"/>
      <c r="M21" s="89"/>
      <c r="N21" s="88"/>
      <c r="O21" s="88"/>
      <c r="P21" s="90"/>
      <c r="Q21" s="51"/>
      <c r="R21" s="37"/>
      <c r="S21" s="37"/>
      <c r="T21" s="37"/>
      <c r="U21" s="37"/>
      <c r="V21" s="37"/>
      <c r="W21" s="37"/>
      <c r="X21" s="37"/>
      <c r="Y21" s="37"/>
      <c r="Z21" s="37"/>
      <c r="AA21" s="37"/>
      <c r="AB21" s="37"/>
      <c r="AC21" s="37"/>
      <c r="AD21" s="37"/>
      <c r="AE21" s="38"/>
      <c r="AF21" s="38"/>
      <c r="AG21" s="38"/>
      <c r="AH21" s="38"/>
      <c r="AI21" s="38"/>
      <c r="AJ21" s="38"/>
      <c r="AK21" s="38"/>
      <c r="AL21" s="38"/>
      <c r="AM21" s="38"/>
      <c r="AN21" s="38"/>
      <c r="AO21" s="38"/>
      <c r="AP21" s="38"/>
      <c r="AQ21" s="38"/>
      <c r="AR21" s="38"/>
      <c r="AS21" s="37"/>
      <c r="AT21" s="37"/>
      <c r="AU21" s="37"/>
      <c r="AV21" s="37"/>
      <c r="AW21" s="37"/>
      <c r="AX21" s="37"/>
      <c r="AY21" s="37"/>
      <c r="AZ21" s="37"/>
      <c r="BA21" s="37"/>
      <c r="BB21" s="37"/>
      <c r="BC21" s="37"/>
    </row>
    <row r="22" spans="1:55" ht="56.25">
      <c r="A22" s="124" t="s">
        <v>137</v>
      </c>
      <c r="B22" s="124" t="s">
        <v>72</v>
      </c>
      <c r="C22" s="124" t="s">
        <v>91</v>
      </c>
      <c r="D22" s="124" t="s">
        <v>92</v>
      </c>
      <c r="E22" s="124" t="s">
        <v>66</v>
      </c>
      <c r="F22" s="124" t="s">
        <v>75</v>
      </c>
      <c r="G22" s="115">
        <v>2633513.7475605137</v>
      </c>
      <c r="H22" s="115">
        <v>877837.35243948642</v>
      </c>
      <c r="I22" s="52">
        <f>G22/(G22+H22)</f>
        <v>0.75000012034128793</v>
      </c>
      <c r="J22" s="52" t="s">
        <v>93</v>
      </c>
      <c r="K22" s="116" t="s">
        <v>132</v>
      </c>
      <c r="L22" s="116" t="s">
        <v>95</v>
      </c>
      <c r="M22" s="117">
        <v>3511351.1</v>
      </c>
      <c r="N22" s="116" t="s">
        <v>138</v>
      </c>
      <c r="O22" s="116" t="s">
        <v>139</v>
      </c>
      <c r="P22" s="53" t="s">
        <v>114</v>
      </c>
      <c r="Q22" s="37"/>
      <c r="R22" s="37"/>
      <c r="S22" s="37"/>
      <c r="T22" s="37"/>
      <c r="U22" s="37"/>
      <c r="V22" s="37"/>
      <c r="W22" s="37"/>
      <c r="X22" s="37"/>
      <c r="Y22" s="37"/>
      <c r="Z22" s="37"/>
      <c r="AA22" s="37"/>
      <c r="AB22" s="37"/>
      <c r="AC22" s="37"/>
      <c r="AD22" s="37"/>
      <c r="AE22" s="38"/>
      <c r="AF22" s="38"/>
      <c r="AG22" s="64">
        <v>3022</v>
      </c>
      <c r="AH22" s="64">
        <v>193</v>
      </c>
      <c r="AI22" s="45">
        <v>460</v>
      </c>
      <c r="AJ22" s="46"/>
      <c r="AK22" s="46"/>
      <c r="AL22" s="46"/>
      <c r="AM22" s="46"/>
      <c r="AN22" s="46"/>
      <c r="AO22" s="46"/>
      <c r="AP22" s="45">
        <v>2116</v>
      </c>
      <c r="AQ22" s="38"/>
      <c r="AR22" s="38"/>
      <c r="AS22" s="37"/>
      <c r="AT22" s="37"/>
      <c r="AU22" s="37"/>
      <c r="AV22" s="37"/>
      <c r="AW22" s="37"/>
      <c r="AX22" s="37"/>
      <c r="AY22" s="37"/>
      <c r="AZ22" s="37"/>
      <c r="BA22" s="37"/>
      <c r="BB22" s="37"/>
      <c r="BC22" s="37"/>
    </row>
    <row r="23" spans="1:55" ht="22.5">
      <c r="A23" s="125"/>
      <c r="B23" s="125"/>
      <c r="C23" s="125"/>
      <c r="D23" s="125"/>
      <c r="E23" s="125"/>
      <c r="F23" s="125"/>
      <c r="G23" s="40">
        <v>270000</v>
      </c>
      <c r="H23" s="40">
        <v>30000</v>
      </c>
      <c r="I23" s="41">
        <v>0.9</v>
      </c>
      <c r="J23" s="52" t="s">
        <v>76</v>
      </c>
      <c r="K23" s="42" t="s">
        <v>140</v>
      </c>
      <c r="L23" s="42" t="s">
        <v>95</v>
      </c>
      <c r="M23" s="9">
        <v>300000</v>
      </c>
      <c r="N23" s="42" t="s">
        <v>141</v>
      </c>
      <c r="O23" s="42" t="s">
        <v>139</v>
      </c>
      <c r="P23" s="35" t="s">
        <v>142</v>
      </c>
      <c r="Q23" s="37"/>
      <c r="R23" s="37"/>
      <c r="S23" s="37"/>
      <c r="T23" s="37"/>
      <c r="U23" s="37"/>
      <c r="V23" s="37"/>
      <c r="W23" s="37"/>
      <c r="X23" s="37"/>
      <c r="Y23" s="37"/>
      <c r="Z23" s="37"/>
      <c r="AA23" s="37"/>
      <c r="AB23" s="37"/>
      <c r="AC23" s="37"/>
      <c r="AD23" s="37"/>
      <c r="AE23" s="38"/>
      <c r="AF23" s="38"/>
      <c r="AG23" s="39">
        <v>300</v>
      </c>
      <c r="AH23" s="38"/>
      <c r="AI23" s="38"/>
      <c r="AJ23" s="38"/>
      <c r="AK23" s="38"/>
      <c r="AL23" s="38"/>
      <c r="AM23" s="38"/>
      <c r="AN23" s="38"/>
      <c r="AO23" s="38"/>
      <c r="AP23" s="38"/>
      <c r="AQ23" s="38"/>
      <c r="AR23" s="38"/>
      <c r="AS23" s="37"/>
      <c r="AT23" s="37"/>
      <c r="AU23" s="37"/>
      <c r="AV23" s="37"/>
      <c r="AW23" s="37"/>
      <c r="AX23" s="37"/>
      <c r="AY23" s="37"/>
      <c r="AZ23" s="37"/>
      <c r="BA23" s="37"/>
      <c r="BB23" s="37"/>
      <c r="BC23" s="37"/>
    </row>
    <row r="24" spans="1:55" ht="56.25">
      <c r="A24" s="26" t="s">
        <v>143</v>
      </c>
      <c r="B24" s="26" t="s">
        <v>72</v>
      </c>
      <c r="C24" s="26" t="s">
        <v>91</v>
      </c>
      <c r="D24" s="26" t="s">
        <v>92</v>
      </c>
      <c r="E24" s="26" t="s">
        <v>66</v>
      </c>
      <c r="F24" s="26" t="s">
        <v>75</v>
      </c>
      <c r="G24" s="40">
        <f>M24*I24</f>
        <v>873669.09600000002</v>
      </c>
      <c r="H24" s="40">
        <f>M24*0.1</f>
        <v>97074.343999999997</v>
      </c>
      <c r="I24" s="41">
        <v>0.9</v>
      </c>
      <c r="J24" s="102" t="s">
        <v>76</v>
      </c>
      <c r="K24" s="42" t="s">
        <v>144</v>
      </c>
      <c r="L24" s="42" t="s">
        <v>95</v>
      </c>
      <c r="M24" s="9">
        <v>970743.44</v>
      </c>
      <c r="N24" s="42" t="s">
        <v>145</v>
      </c>
      <c r="O24" s="42" t="s">
        <v>80</v>
      </c>
      <c r="P24" s="35" t="s">
        <v>146</v>
      </c>
      <c r="Q24" s="37"/>
      <c r="R24" s="37"/>
      <c r="S24" s="37"/>
      <c r="T24" s="37"/>
      <c r="U24" s="37"/>
      <c r="V24" s="37"/>
      <c r="W24" s="37"/>
      <c r="X24" s="37"/>
      <c r="Y24" s="37"/>
      <c r="Z24" s="37"/>
      <c r="AA24" s="37"/>
      <c r="AB24" s="37"/>
      <c r="AC24" s="37"/>
      <c r="AD24" s="37"/>
      <c r="AE24" s="38"/>
      <c r="AF24" s="38"/>
      <c r="AG24" s="50">
        <v>1200</v>
      </c>
      <c r="AH24" s="38"/>
      <c r="AI24" s="38"/>
      <c r="AJ24" s="38"/>
      <c r="AK24" s="38"/>
      <c r="AL24" s="38"/>
      <c r="AM24" s="38"/>
      <c r="AN24" s="38"/>
      <c r="AO24" s="38"/>
      <c r="AP24" s="39">
        <v>840</v>
      </c>
      <c r="AQ24" s="38"/>
      <c r="AR24" s="38"/>
      <c r="AS24" s="37"/>
      <c r="AT24" s="37"/>
      <c r="AU24" s="37"/>
      <c r="AV24" s="37"/>
      <c r="AW24" s="37"/>
      <c r="AX24" s="37"/>
      <c r="AY24" s="37"/>
      <c r="AZ24" s="37"/>
      <c r="BA24" s="37"/>
      <c r="BB24" s="37"/>
      <c r="BC24" s="37"/>
    </row>
    <row r="25" spans="1:55" ht="45">
      <c r="A25" s="26" t="s">
        <v>147</v>
      </c>
      <c r="B25" s="26" t="s">
        <v>72</v>
      </c>
      <c r="C25" s="26" t="s">
        <v>148</v>
      </c>
      <c r="D25" s="26" t="s">
        <v>74</v>
      </c>
      <c r="E25" s="26" t="s">
        <v>66</v>
      </c>
      <c r="F25" s="26" t="s">
        <v>75</v>
      </c>
      <c r="G25" s="40">
        <f>M25*I25</f>
        <v>720000</v>
      </c>
      <c r="H25" s="40">
        <f>M25*0.1</f>
        <v>80000</v>
      </c>
      <c r="I25" s="41">
        <v>0.9</v>
      </c>
      <c r="J25" s="102" t="s">
        <v>76</v>
      </c>
      <c r="K25" s="42" t="s">
        <v>149</v>
      </c>
      <c r="L25" s="42" t="s">
        <v>78</v>
      </c>
      <c r="M25" s="9">
        <v>800000</v>
      </c>
      <c r="N25" s="42" t="s">
        <v>150</v>
      </c>
      <c r="O25" s="42" t="s">
        <v>80</v>
      </c>
      <c r="P25" s="35" t="s">
        <v>146</v>
      </c>
      <c r="Q25" s="37"/>
      <c r="R25" s="37"/>
      <c r="S25" s="37"/>
      <c r="T25" s="37"/>
      <c r="U25" s="37"/>
      <c r="V25" s="37"/>
      <c r="W25" s="37"/>
      <c r="X25" s="37"/>
      <c r="Y25" s="37"/>
      <c r="Z25" s="37"/>
      <c r="AA25" s="37"/>
      <c r="AB25" s="37"/>
      <c r="AC25" s="37"/>
      <c r="AD25" s="37"/>
      <c r="AE25" s="38"/>
      <c r="AF25" s="38"/>
      <c r="AG25" s="50">
        <v>200</v>
      </c>
      <c r="AH25" s="38"/>
      <c r="AI25" s="38"/>
      <c r="AJ25" s="38"/>
      <c r="AK25" s="38"/>
      <c r="AL25" s="38"/>
      <c r="AM25" s="38"/>
      <c r="AN25" s="38"/>
      <c r="AO25" s="38"/>
      <c r="AP25" s="38"/>
      <c r="AQ25" s="38"/>
      <c r="AR25" s="38"/>
      <c r="AS25" s="37"/>
      <c r="AT25" s="37"/>
      <c r="AU25" s="37"/>
      <c r="AV25" s="37"/>
      <c r="AW25" s="37"/>
      <c r="AX25" s="37"/>
      <c r="AY25" s="37"/>
      <c r="AZ25" s="37"/>
      <c r="BA25" s="37"/>
      <c r="BB25" s="37"/>
      <c r="BC25" s="37"/>
    </row>
    <row r="26" spans="1:55" ht="56.25">
      <c r="A26" s="103" t="s">
        <v>151</v>
      </c>
      <c r="B26" s="103" t="s">
        <v>72</v>
      </c>
      <c r="C26" s="103" t="s">
        <v>91</v>
      </c>
      <c r="D26" s="103" t="s">
        <v>152</v>
      </c>
      <c r="E26" s="103" t="s">
        <v>66</v>
      </c>
      <c r="F26" s="103" t="s">
        <v>75</v>
      </c>
      <c r="G26" s="118">
        <f>M26*I26</f>
        <v>900000</v>
      </c>
      <c r="H26" s="40">
        <f>M26*0.1</f>
        <v>100000</v>
      </c>
      <c r="I26" s="41">
        <v>0.9</v>
      </c>
      <c r="J26" s="102" t="s">
        <v>76</v>
      </c>
      <c r="K26" s="26" t="s">
        <v>153</v>
      </c>
      <c r="L26" s="42" t="s">
        <v>95</v>
      </c>
      <c r="M26" s="9">
        <v>1000000</v>
      </c>
      <c r="N26" s="42" t="s">
        <v>79</v>
      </c>
      <c r="O26" s="42" t="s">
        <v>80</v>
      </c>
      <c r="P26" s="35" t="s">
        <v>114</v>
      </c>
      <c r="Q26" s="37"/>
      <c r="R26" s="37"/>
      <c r="S26" s="37"/>
      <c r="T26" s="37"/>
      <c r="U26" s="37"/>
      <c r="V26" s="37"/>
      <c r="W26" s="37"/>
      <c r="X26" s="37"/>
      <c r="Y26" s="37"/>
      <c r="Z26" s="37"/>
      <c r="AA26" s="37"/>
      <c r="AB26" s="37"/>
      <c r="AC26" s="37"/>
      <c r="AD26" s="37"/>
      <c r="AE26" s="38"/>
      <c r="AF26" s="38"/>
      <c r="AG26" s="50">
        <v>1000</v>
      </c>
      <c r="AH26" s="38"/>
      <c r="AI26" s="38"/>
      <c r="AJ26" s="50">
        <v>270</v>
      </c>
      <c r="AK26" s="38"/>
      <c r="AL26" s="38"/>
      <c r="AM26" s="38"/>
      <c r="AN26" s="38"/>
      <c r="AO26" s="38"/>
      <c r="AP26" s="38"/>
      <c r="AQ26" s="38"/>
      <c r="AR26" s="38"/>
      <c r="AS26" s="37"/>
      <c r="AT26" s="37"/>
      <c r="AU26" s="37"/>
      <c r="AV26" s="37"/>
      <c r="AW26" s="37"/>
      <c r="AX26" s="37"/>
      <c r="AY26" s="37"/>
      <c r="AZ26" s="37"/>
      <c r="BA26" s="37"/>
      <c r="BB26" s="37"/>
      <c r="BC26" s="37"/>
    </row>
    <row r="27" spans="1:55" s="2" customFormat="1" ht="15" customHeight="1">
      <c r="A27" s="54" t="s">
        <v>154</v>
      </c>
      <c r="B27" s="55"/>
      <c r="C27" s="55"/>
      <c r="D27" s="55"/>
      <c r="E27" s="55"/>
      <c r="F27" s="56"/>
      <c r="G27" s="57">
        <f>SUM(G30:G47)</f>
        <v>34246440.582999997</v>
      </c>
      <c r="H27" s="11">
        <f>SUM(H28:H47)</f>
        <v>6555819.6569999997</v>
      </c>
      <c r="I27" s="11">
        <f>G27/(H27+G27)</f>
        <v>0.83932704662833657</v>
      </c>
      <c r="J27" s="11">
        <f>SUM(J30:J41)</f>
        <v>0</v>
      </c>
      <c r="K27" s="11">
        <f>SUM(K30:K41)</f>
        <v>0</v>
      </c>
      <c r="L27" s="11">
        <f>SUM(L30:L41)</f>
        <v>0</v>
      </c>
      <c r="M27" s="11">
        <f>SUM(M30:M47)</f>
        <v>40802260.24000001</v>
      </c>
      <c r="N27" s="11">
        <f>SUM(N30:N41)</f>
        <v>0</v>
      </c>
      <c r="O27" s="11">
        <f>SUM(O30:O41)</f>
        <v>0</v>
      </c>
      <c r="P27" s="34"/>
      <c r="Q27" s="34">
        <f t="shared" ref="Q27:AD27" si="2">SUM(Q30:Q45)</f>
        <v>13100</v>
      </c>
      <c r="R27" s="34">
        <f t="shared" si="2"/>
        <v>3100</v>
      </c>
      <c r="S27" s="34"/>
      <c r="T27" s="34">
        <f t="shared" si="2"/>
        <v>5320</v>
      </c>
      <c r="U27" s="34">
        <f t="shared" si="2"/>
        <v>1230</v>
      </c>
      <c r="V27" s="34">
        <f t="shared" si="2"/>
        <v>215</v>
      </c>
      <c r="W27" s="34">
        <f t="shared" si="2"/>
        <v>0</v>
      </c>
      <c r="X27" s="34">
        <f t="shared" si="2"/>
        <v>2200</v>
      </c>
      <c r="Y27" s="34">
        <f t="shared" si="2"/>
        <v>260</v>
      </c>
      <c r="Z27" s="34">
        <f t="shared" si="2"/>
        <v>680</v>
      </c>
      <c r="AA27" s="34">
        <f t="shared" si="2"/>
        <v>840</v>
      </c>
      <c r="AB27" s="34">
        <f t="shared" si="2"/>
        <v>0</v>
      </c>
      <c r="AC27" s="34">
        <f t="shared" si="2"/>
        <v>0</v>
      </c>
      <c r="AD27" s="34">
        <f t="shared" si="2"/>
        <v>0</v>
      </c>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row>
    <row r="28" spans="1:55" ht="33.75">
      <c r="A28" s="102" t="s">
        <v>155</v>
      </c>
      <c r="B28" s="102" t="s">
        <v>64</v>
      </c>
      <c r="C28" s="102" t="s">
        <v>65</v>
      </c>
      <c r="D28" s="102" t="s">
        <v>65</v>
      </c>
      <c r="E28" s="102" t="s">
        <v>84</v>
      </c>
      <c r="F28" s="102"/>
      <c r="G28" s="40"/>
      <c r="H28" s="40"/>
      <c r="I28" s="58"/>
      <c r="J28" s="41" t="s">
        <v>93</v>
      </c>
      <c r="K28" s="106"/>
      <c r="L28" s="106"/>
      <c r="M28" s="107"/>
      <c r="N28" s="106"/>
      <c r="O28" s="106"/>
      <c r="P28" s="59"/>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row>
    <row r="29" spans="1:55" ht="78.75">
      <c r="A29" s="26" t="s">
        <v>156</v>
      </c>
      <c r="B29" s="26" t="s">
        <v>68</v>
      </c>
      <c r="C29" s="26" t="s">
        <v>65</v>
      </c>
      <c r="D29" s="26" t="s">
        <v>65</v>
      </c>
      <c r="E29" s="26" t="s">
        <v>84</v>
      </c>
      <c r="F29" s="26"/>
      <c r="G29" s="40"/>
      <c r="H29" s="40"/>
      <c r="I29" s="58"/>
      <c r="J29" s="41" t="s">
        <v>93</v>
      </c>
      <c r="K29" s="106"/>
      <c r="L29" s="106"/>
      <c r="M29" s="107"/>
      <c r="N29" s="106"/>
      <c r="O29" s="106"/>
      <c r="P29" s="59"/>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row>
    <row r="30" spans="1:55" ht="22.5">
      <c r="A30" s="127" t="s">
        <v>157</v>
      </c>
      <c r="B30" s="127" t="s">
        <v>72</v>
      </c>
      <c r="C30" s="163" t="s">
        <v>158</v>
      </c>
      <c r="D30" s="163" t="s">
        <v>74</v>
      </c>
      <c r="E30" s="163" t="s">
        <v>66</v>
      </c>
      <c r="F30" s="163" t="s">
        <v>75</v>
      </c>
      <c r="G30" s="146">
        <v>1061475</v>
      </c>
      <c r="H30" s="146">
        <v>353825</v>
      </c>
      <c r="I30" s="149">
        <f>G30/(G30+H30)</f>
        <v>0.75</v>
      </c>
      <c r="J30" s="41" t="s">
        <v>93</v>
      </c>
      <c r="K30" s="42" t="s">
        <v>159</v>
      </c>
      <c r="L30" s="42" t="s">
        <v>160</v>
      </c>
      <c r="M30" s="9">
        <v>1010409</v>
      </c>
      <c r="N30" s="42" t="s">
        <v>161</v>
      </c>
      <c r="O30" s="42" t="s">
        <v>80</v>
      </c>
      <c r="P30" s="35" t="s">
        <v>162</v>
      </c>
      <c r="Q30" s="61"/>
      <c r="R30" s="61"/>
      <c r="S30" s="61"/>
      <c r="T30" s="61"/>
      <c r="U30" s="61"/>
      <c r="V30" s="45">
        <v>75</v>
      </c>
      <c r="W30" s="61"/>
      <c r="X30" s="61"/>
      <c r="Y30" s="61"/>
      <c r="Z30" s="61"/>
      <c r="AA30" s="61"/>
      <c r="AB30" s="61"/>
      <c r="AC30" s="61"/>
      <c r="AD30" s="61"/>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row>
    <row r="31" spans="1:55" ht="33.75">
      <c r="A31" s="124"/>
      <c r="B31" s="125"/>
      <c r="C31" s="163"/>
      <c r="D31" s="163"/>
      <c r="E31" s="163"/>
      <c r="F31" s="163"/>
      <c r="G31" s="146"/>
      <c r="H31" s="146"/>
      <c r="I31" s="149"/>
      <c r="J31" s="41" t="s">
        <v>93</v>
      </c>
      <c r="K31" s="42" t="s">
        <v>163</v>
      </c>
      <c r="L31" s="42" t="s">
        <v>106</v>
      </c>
      <c r="M31" s="9">
        <v>404891</v>
      </c>
      <c r="N31" s="42" t="s">
        <v>164</v>
      </c>
      <c r="O31" s="42" t="s">
        <v>80</v>
      </c>
      <c r="P31" s="35" t="s">
        <v>162</v>
      </c>
      <c r="Q31" s="61"/>
      <c r="R31" s="61"/>
      <c r="S31" s="61"/>
      <c r="T31" s="61"/>
      <c r="U31" s="61"/>
      <c r="V31" s="61"/>
      <c r="W31" s="61"/>
      <c r="X31" s="61"/>
      <c r="Y31" s="61"/>
      <c r="Z31" s="61"/>
      <c r="AA31" s="61"/>
      <c r="AB31" s="61"/>
      <c r="AC31" s="61"/>
      <c r="AD31" s="61"/>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row>
    <row r="32" spans="1:55" ht="33.75">
      <c r="A32" s="124"/>
      <c r="B32" s="103" t="s">
        <v>72</v>
      </c>
      <c r="C32" s="161" t="s">
        <v>165</v>
      </c>
      <c r="D32" s="161" t="s">
        <v>74</v>
      </c>
      <c r="E32" s="161" t="s">
        <v>66</v>
      </c>
      <c r="F32" s="161" t="s">
        <v>75</v>
      </c>
      <c r="G32" s="9">
        <f>M32*I32</f>
        <v>5827500</v>
      </c>
      <c r="H32" s="9">
        <f>M32*0.1</f>
        <v>647500</v>
      </c>
      <c r="I32" s="60">
        <v>0.9</v>
      </c>
      <c r="J32" s="102" t="s">
        <v>76</v>
      </c>
      <c r="K32" s="42" t="s">
        <v>166</v>
      </c>
      <c r="L32" s="42" t="s">
        <v>106</v>
      </c>
      <c r="M32" s="9">
        <v>6475000</v>
      </c>
      <c r="N32" s="42" t="s">
        <v>113</v>
      </c>
      <c r="O32" s="42" t="s">
        <v>80</v>
      </c>
      <c r="P32" s="35" t="s">
        <v>162</v>
      </c>
      <c r="Q32" s="61"/>
      <c r="R32" s="61"/>
      <c r="S32" s="61"/>
      <c r="T32" s="61"/>
      <c r="U32" s="61"/>
      <c r="V32" s="61"/>
      <c r="W32" s="61"/>
      <c r="X32" s="39">
        <v>1200</v>
      </c>
      <c r="Y32" s="39">
        <v>100</v>
      </c>
      <c r="Z32" s="61"/>
      <c r="AA32" s="61"/>
      <c r="AB32" s="61"/>
      <c r="AC32" s="61"/>
      <c r="AD32" s="61"/>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row>
    <row r="33" spans="1:55" ht="22.5">
      <c r="A33" s="125"/>
      <c r="B33" s="102"/>
      <c r="C33" s="162"/>
      <c r="D33" s="162"/>
      <c r="E33" s="162"/>
      <c r="F33" s="162"/>
      <c r="G33" s="9">
        <f>M33*I33</f>
        <v>1011150</v>
      </c>
      <c r="H33" s="9">
        <f>M33*0.1</f>
        <v>112350</v>
      </c>
      <c r="I33" s="60">
        <v>0.9</v>
      </c>
      <c r="J33" s="102" t="s">
        <v>76</v>
      </c>
      <c r="K33" s="41" t="s">
        <v>167</v>
      </c>
      <c r="L33" s="42" t="s">
        <v>106</v>
      </c>
      <c r="M33" s="9">
        <v>1123500</v>
      </c>
      <c r="N33" s="42" t="s">
        <v>168</v>
      </c>
      <c r="O33" s="42" t="s">
        <v>80</v>
      </c>
      <c r="P33" s="35" t="s">
        <v>162</v>
      </c>
      <c r="Q33" s="61"/>
      <c r="R33" s="61"/>
      <c r="S33" s="61"/>
      <c r="T33" s="61"/>
      <c r="U33" s="61"/>
      <c r="V33" s="61"/>
      <c r="W33" s="61"/>
      <c r="X33" s="61"/>
      <c r="Y33" s="61"/>
      <c r="Z33" s="61"/>
      <c r="AA33" s="61"/>
      <c r="AB33" s="61"/>
      <c r="AC33" s="61"/>
      <c r="AD33" s="61"/>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row>
    <row r="34" spans="1:55" ht="22.5">
      <c r="A34" s="102" t="s">
        <v>169</v>
      </c>
      <c r="B34" s="102" t="s">
        <v>72</v>
      </c>
      <c r="C34" s="108" t="s">
        <v>170</v>
      </c>
      <c r="D34" s="108" t="s">
        <v>74</v>
      </c>
      <c r="E34" s="108" t="s">
        <v>66</v>
      </c>
      <c r="F34" s="108" t="s">
        <v>75</v>
      </c>
      <c r="G34" s="9">
        <f>M34*0.9</f>
        <v>4605547.5</v>
      </c>
      <c r="H34" s="9">
        <f>M34-G34</f>
        <v>511727.5</v>
      </c>
      <c r="I34" s="60">
        <v>0.9</v>
      </c>
      <c r="J34" s="102" t="s">
        <v>76</v>
      </c>
      <c r="K34" s="42" t="s">
        <v>171</v>
      </c>
      <c r="L34" s="42" t="s">
        <v>172</v>
      </c>
      <c r="M34" s="9">
        <v>5117275</v>
      </c>
      <c r="N34" s="42" t="s">
        <v>113</v>
      </c>
      <c r="O34" s="42" t="s">
        <v>80</v>
      </c>
      <c r="P34" s="35" t="s">
        <v>173</v>
      </c>
      <c r="Q34" s="61"/>
      <c r="R34" s="61"/>
      <c r="S34" s="61"/>
      <c r="T34" s="61"/>
      <c r="U34" s="50">
        <v>70</v>
      </c>
      <c r="V34" s="61"/>
      <c r="W34" s="61"/>
      <c r="X34" s="61"/>
      <c r="Y34" s="61"/>
      <c r="Z34" s="50">
        <v>50</v>
      </c>
      <c r="AA34" s="50">
        <v>50</v>
      </c>
      <c r="AB34" s="61"/>
      <c r="AC34" s="61"/>
      <c r="AD34" s="61"/>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row>
    <row r="35" spans="1:55" ht="101.25">
      <c r="A35" s="26" t="s">
        <v>174</v>
      </c>
      <c r="B35" s="26" t="s">
        <v>72</v>
      </c>
      <c r="C35" s="108" t="s">
        <v>175</v>
      </c>
      <c r="D35" s="108" t="s">
        <v>74</v>
      </c>
      <c r="E35" s="108" t="s">
        <v>66</v>
      </c>
      <c r="F35" s="108" t="s">
        <v>75</v>
      </c>
      <c r="G35" s="9">
        <v>9258266.6500000004</v>
      </c>
      <c r="H35" s="9">
        <v>2314566.66</v>
      </c>
      <c r="I35" s="41">
        <f>G35/(G35+H35)</f>
        <v>0.80000000017281847</v>
      </c>
      <c r="J35" s="41" t="s">
        <v>176</v>
      </c>
      <c r="K35" s="42" t="s">
        <v>177</v>
      </c>
      <c r="L35" s="42" t="s">
        <v>178</v>
      </c>
      <c r="M35" s="9">
        <f>G35+H35</f>
        <v>11572833.310000001</v>
      </c>
      <c r="N35" s="42" t="s">
        <v>179</v>
      </c>
      <c r="O35" s="42" t="s">
        <v>80</v>
      </c>
      <c r="P35" s="35" t="s">
        <v>162</v>
      </c>
      <c r="Q35" s="61"/>
      <c r="R35" s="61"/>
      <c r="S35" s="61"/>
      <c r="T35" s="61"/>
      <c r="U35" s="61"/>
      <c r="V35" s="39">
        <v>140</v>
      </c>
      <c r="W35" s="61"/>
      <c r="X35" s="39">
        <v>1000</v>
      </c>
      <c r="Y35" s="61"/>
      <c r="Z35" s="61"/>
      <c r="AA35" s="61"/>
      <c r="AB35" s="61"/>
      <c r="AC35" s="61"/>
      <c r="AD35" s="61"/>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row>
    <row r="36" spans="1:55" ht="33.75">
      <c r="A36" s="127" t="s">
        <v>180</v>
      </c>
      <c r="B36" s="126" t="s">
        <v>72</v>
      </c>
      <c r="C36" s="126" t="s">
        <v>181</v>
      </c>
      <c r="D36" s="126" t="s">
        <v>74</v>
      </c>
      <c r="E36" s="126" t="s">
        <v>66</v>
      </c>
      <c r="F36" s="126" t="s">
        <v>75</v>
      </c>
      <c r="G36" s="146">
        <f>(M36+M37+M38)*I36</f>
        <v>5016583.32</v>
      </c>
      <c r="H36" s="146">
        <f>(M36+M37+M38)*0.25</f>
        <v>1672194.44</v>
      </c>
      <c r="I36" s="147">
        <v>0.75</v>
      </c>
      <c r="J36" s="41" t="s">
        <v>93</v>
      </c>
      <c r="K36" s="42" t="s">
        <v>182</v>
      </c>
      <c r="L36" s="42" t="s">
        <v>103</v>
      </c>
      <c r="M36" s="9">
        <v>4580000</v>
      </c>
      <c r="N36" s="42" t="s">
        <v>183</v>
      </c>
      <c r="O36" s="42" t="s">
        <v>80</v>
      </c>
      <c r="P36" s="35" t="s">
        <v>162</v>
      </c>
      <c r="Q36" s="62">
        <f>625+7500</f>
        <v>8125</v>
      </c>
      <c r="R36" s="61"/>
      <c r="S36" s="62">
        <f>625+7500</f>
        <v>8125</v>
      </c>
      <c r="T36" s="62">
        <f>2900+250</f>
        <v>3150</v>
      </c>
      <c r="U36" s="61"/>
      <c r="V36" s="61"/>
      <c r="W36" s="61"/>
      <c r="X36" s="61"/>
      <c r="Y36" s="61"/>
      <c r="Z36" s="61"/>
      <c r="AA36" s="61"/>
      <c r="AB36" s="61"/>
      <c r="AC36" s="61"/>
      <c r="AD36" s="61"/>
      <c r="AE36" s="37"/>
      <c r="AF36" s="37"/>
      <c r="AG36" s="37"/>
      <c r="AH36" s="37"/>
      <c r="AI36" s="81"/>
      <c r="AJ36" s="81"/>
      <c r="AK36" s="81"/>
      <c r="AL36" s="81"/>
      <c r="AM36" s="81"/>
      <c r="AN36" s="81"/>
      <c r="AO36" s="37"/>
      <c r="AP36" s="37"/>
      <c r="AQ36" s="37"/>
      <c r="AR36" s="37"/>
      <c r="AS36" s="37"/>
      <c r="AT36" s="37">
        <f>BB37*0.75</f>
        <v>0</v>
      </c>
      <c r="AU36" s="37"/>
      <c r="AV36" s="37"/>
      <c r="AW36" s="37"/>
      <c r="AX36" s="37"/>
      <c r="AY36" s="37"/>
      <c r="AZ36" s="37"/>
      <c r="BA36" s="37"/>
      <c r="BB36" s="91"/>
      <c r="BC36" s="91"/>
    </row>
    <row r="37" spans="1:55" ht="22.5">
      <c r="A37" s="124"/>
      <c r="B37" s="126"/>
      <c r="C37" s="126"/>
      <c r="D37" s="126"/>
      <c r="E37" s="126"/>
      <c r="F37" s="126"/>
      <c r="G37" s="146"/>
      <c r="H37" s="146"/>
      <c r="I37" s="148"/>
      <c r="J37" s="41" t="s">
        <v>93</v>
      </c>
      <c r="K37" s="42" t="s">
        <v>184</v>
      </c>
      <c r="L37" s="42" t="s">
        <v>185</v>
      </c>
      <c r="M37" s="9">
        <f>250000+148777.76+1222.24</f>
        <v>400000</v>
      </c>
      <c r="N37" s="42" t="s">
        <v>186</v>
      </c>
      <c r="O37" s="42" t="s">
        <v>80</v>
      </c>
      <c r="P37" s="35" t="s">
        <v>162</v>
      </c>
      <c r="Q37" s="39">
        <f>300+100</f>
        <v>400</v>
      </c>
      <c r="R37" s="39">
        <v>400</v>
      </c>
      <c r="S37" s="61"/>
      <c r="T37" s="63"/>
      <c r="U37" s="61"/>
      <c r="V37" s="61"/>
      <c r="W37" s="61"/>
      <c r="X37" s="61"/>
      <c r="Y37" s="61"/>
      <c r="Z37" s="61"/>
      <c r="AA37" s="61"/>
      <c r="AB37" s="61"/>
      <c r="AC37" s="61"/>
      <c r="AD37" s="61"/>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row>
    <row r="38" spans="1:55" ht="22.5">
      <c r="A38" s="124"/>
      <c r="B38" s="126"/>
      <c r="C38" s="126"/>
      <c r="D38" s="126"/>
      <c r="E38" s="126"/>
      <c r="F38" s="126"/>
      <c r="G38" s="146"/>
      <c r="H38" s="146"/>
      <c r="I38" s="148"/>
      <c r="J38" s="41" t="s">
        <v>93</v>
      </c>
      <c r="K38" s="42" t="s">
        <v>184</v>
      </c>
      <c r="L38" s="42" t="s">
        <v>78</v>
      </c>
      <c r="M38" s="9">
        <f>1250000+458777.76</f>
        <v>1708777.76</v>
      </c>
      <c r="N38" s="42" t="s">
        <v>187</v>
      </c>
      <c r="O38" s="42" t="s">
        <v>80</v>
      </c>
      <c r="P38" s="35" t="s">
        <v>162</v>
      </c>
      <c r="Q38" s="50">
        <f>2200+100+400</f>
        <v>2700</v>
      </c>
      <c r="R38" s="39">
        <f>2300+400</f>
        <v>2700</v>
      </c>
      <c r="S38" s="61"/>
      <c r="T38" s="39">
        <v>1420</v>
      </c>
      <c r="U38" s="61"/>
      <c r="V38" s="61"/>
      <c r="W38" s="61"/>
      <c r="X38" s="61"/>
      <c r="Y38" s="61"/>
      <c r="Z38" s="61"/>
      <c r="AA38" s="61"/>
      <c r="AB38" s="61"/>
      <c r="AC38" s="61"/>
      <c r="AD38" s="61"/>
      <c r="AE38" s="47"/>
      <c r="AF38" s="47"/>
      <c r="AG38" s="47"/>
      <c r="AH38" s="47"/>
      <c r="AI38" s="47"/>
      <c r="AJ38" s="47"/>
      <c r="AK38" s="47"/>
      <c r="AL38" s="47"/>
      <c r="AM38" s="47"/>
      <c r="AN38" s="47"/>
      <c r="AO38" s="37"/>
      <c r="AP38" s="37"/>
      <c r="AQ38" s="37"/>
      <c r="AR38" s="37"/>
      <c r="AS38" s="37"/>
      <c r="AT38" s="37"/>
      <c r="AU38" s="37"/>
      <c r="AV38" s="37"/>
      <c r="AW38" s="37"/>
      <c r="AX38" s="37"/>
      <c r="AY38" s="37"/>
      <c r="AZ38" s="37"/>
      <c r="BA38" s="37"/>
      <c r="BB38" s="47"/>
      <c r="BC38" s="47"/>
    </row>
    <row r="39" spans="1:55" ht="22.5">
      <c r="A39" s="125"/>
      <c r="B39" s="26" t="s">
        <v>72</v>
      </c>
      <c r="C39" s="26" t="s">
        <v>101</v>
      </c>
      <c r="D39" s="108" t="s">
        <v>74</v>
      </c>
      <c r="E39" s="108" t="s">
        <v>66</v>
      </c>
      <c r="F39" s="108" t="s">
        <v>75</v>
      </c>
      <c r="G39" s="9">
        <f>M39*I39</f>
        <v>900000</v>
      </c>
      <c r="H39" s="9">
        <f>M39-G39</f>
        <v>100000</v>
      </c>
      <c r="I39" s="52">
        <v>0.9</v>
      </c>
      <c r="J39" s="102" t="s">
        <v>76</v>
      </c>
      <c r="K39" s="42" t="s">
        <v>188</v>
      </c>
      <c r="L39" s="42" t="s">
        <v>78</v>
      </c>
      <c r="M39" s="9">
        <v>1000000</v>
      </c>
      <c r="N39" s="42" t="s">
        <v>189</v>
      </c>
      <c r="O39" s="42" t="s">
        <v>80</v>
      </c>
      <c r="P39" s="35" t="s">
        <v>162</v>
      </c>
      <c r="Q39" s="64">
        <v>1250</v>
      </c>
      <c r="R39" s="61"/>
      <c r="S39" s="61"/>
      <c r="T39" s="45">
        <v>500</v>
      </c>
      <c r="U39" s="61"/>
      <c r="V39" s="61"/>
      <c r="W39" s="61"/>
      <c r="X39" s="61"/>
      <c r="Y39" s="61"/>
      <c r="Z39" s="61"/>
      <c r="AA39" s="61"/>
      <c r="AB39" s="61"/>
      <c r="AC39" s="61"/>
      <c r="AD39" s="61"/>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row>
    <row r="40" spans="1:55" ht="56.25">
      <c r="A40" s="26" t="s">
        <v>190</v>
      </c>
      <c r="B40" s="26" t="s">
        <v>72</v>
      </c>
      <c r="C40" s="26" t="s">
        <v>91</v>
      </c>
      <c r="D40" s="108" t="s">
        <v>92</v>
      </c>
      <c r="E40" s="108" t="s">
        <v>66</v>
      </c>
      <c r="F40" s="108" t="s">
        <v>75</v>
      </c>
      <c r="G40" s="40">
        <v>375000</v>
      </c>
      <c r="H40" s="40">
        <v>125000</v>
      </c>
      <c r="I40" s="60">
        <f>G40/(G40+H40)</f>
        <v>0.75</v>
      </c>
      <c r="J40" s="41" t="s">
        <v>93</v>
      </c>
      <c r="K40" s="42" t="s">
        <v>191</v>
      </c>
      <c r="L40" s="42" t="s">
        <v>95</v>
      </c>
      <c r="M40" s="9">
        <v>500000</v>
      </c>
      <c r="N40" s="42" t="s">
        <v>186</v>
      </c>
      <c r="O40" s="42" t="s">
        <v>80</v>
      </c>
      <c r="P40" s="35" t="s">
        <v>162</v>
      </c>
      <c r="Q40" s="62">
        <f>625</f>
        <v>625</v>
      </c>
      <c r="R40" s="61"/>
      <c r="S40" s="62">
        <f>625</f>
        <v>625</v>
      </c>
      <c r="T40" s="62">
        <f>Q40*40%</f>
        <v>250</v>
      </c>
      <c r="U40" s="61"/>
      <c r="V40" s="61"/>
      <c r="W40" s="61"/>
      <c r="X40" s="61"/>
      <c r="Y40" s="61"/>
      <c r="Z40" s="61"/>
      <c r="AA40" s="61"/>
      <c r="AB40" s="61"/>
      <c r="AC40" s="61"/>
      <c r="AD40" s="61"/>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row>
    <row r="41" spans="1:55" ht="56.25">
      <c r="A41" s="103" t="s">
        <v>192</v>
      </c>
      <c r="B41" s="26" t="s">
        <v>72</v>
      </c>
      <c r="C41" s="26" t="s">
        <v>91</v>
      </c>
      <c r="D41" s="26" t="s">
        <v>92</v>
      </c>
      <c r="E41" s="26" t="s">
        <v>66</v>
      </c>
      <c r="F41" s="26" t="s">
        <v>75</v>
      </c>
      <c r="G41" s="111">
        <v>25993.200000000004</v>
      </c>
      <c r="H41" s="111">
        <v>8664.4000000000015</v>
      </c>
      <c r="I41" s="60">
        <v>0.75</v>
      </c>
      <c r="J41" s="41" t="s">
        <v>93</v>
      </c>
      <c r="K41" s="42" t="s">
        <v>193</v>
      </c>
      <c r="L41" s="42" t="s">
        <v>95</v>
      </c>
      <c r="M41" s="112">
        <v>34657.600000000006</v>
      </c>
      <c r="N41" s="42" t="s">
        <v>194</v>
      </c>
      <c r="O41" s="42" t="s">
        <v>80</v>
      </c>
      <c r="P41" s="35" t="s">
        <v>173</v>
      </c>
      <c r="Q41" s="61"/>
      <c r="R41" s="61"/>
      <c r="S41" s="61"/>
      <c r="T41" s="61"/>
      <c r="U41" s="39">
        <v>200</v>
      </c>
      <c r="V41" s="61"/>
      <c r="W41" s="61"/>
      <c r="X41" s="61"/>
      <c r="Y41" s="61"/>
      <c r="Z41" s="39">
        <f>U41*0.7</f>
        <v>140</v>
      </c>
      <c r="AA41" s="39">
        <f>U41*0.7</f>
        <v>140</v>
      </c>
      <c r="AB41" s="61"/>
      <c r="AC41" s="61"/>
      <c r="AD41" s="61"/>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row>
    <row r="42" spans="1:55" ht="33.75">
      <c r="A42" s="109" t="s">
        <v>195</v>
      </c>
      <c r="B42" s="26" t="s">
        <v>72</v>
      </c>
      <c r="C42" s="26" t="s">
        <v>196</v>
      </c>
      <c r="D42" s="26" t="s">
        <v>74</v>
      </c>
      <c r="E42" s="26" t="s">
        <v>66</v>
      </c>
      <c r="F42" s="9" t="s">
        <v>75</v>
      </c>
      <c r="G42" s="9">
        <f>M42*I42</f>
        <v>3555401.1209999998</v>
      </c>
      <c r="H42" s="9">
        <f>M42-G42</f>
        <v>395044.56900000013</v>
      </c>
      <c r="I42" s="43">
        <v>0.9</v>
      </c>
      <c r="J42" s="102" t="s">
        <v>76</v>
      </c>
      <c r="K42" s="42" t="s">
        <v>197</v>
      </c>
      <c r="L42" s="42" t="s">
        <v>78</v>
      </c>
      <c r="M42" s="9">
        <v>3950445.69</v>
      </c>
      <c r="N42" s="42" t="s">
        <v>198</v>
      </c>
      <c r="O42" s="42" t="s">
        <v>80</v>
      </c>
      <c r="P42" s="35" t="s">
        <v>173</v>
      </c>
      <c r="Q42" s="61"/>
      <c r="R42" s="61"/>
      <c r="S42" s="61"/>
      <c r="T42" s="61"/>
      <c r="U42" s="39">
        <v>700</v>
      </c>
      <c r="V42" s="61"/>
      <c r="W42" s="61"/>
      <c r="X42" s="61"/>
      <c r="Y42" s="61"/>
      <c r="Z42" s="39">
        <f>U42*0.7</f>
        <v>489.99999999999994</v>
      </c>
      <c r="AA42" s="39">
        <f>U42*0.7</f>
        <v>489.99999999999994</v>
      </c>
      <c r="AB42" s="61"/>
      <c r="AC42" s="61"/>
      <c r="AD42" s="61"/>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row>
    <row r="43" spans="1:55" ht="56.25">
      <c r="A43" s="103" t="s">
        <v>199</v>
      </c>
      <c r="C43" s="26" t="s">
        <v>91</v>
      </c>
      <c r="D43" s="26" t="s">
        <v>92</v>
      </c>
      <c r="E43" s="108" t="s">
        <v>66</v>
      </c>
      <c r="F43" s="108" t="s">
        <v>75</v>
      </c>
      <c r="G43" s="9">
        <v>112500</v>
      </c>
      <c r="H43" s="9">
        <v>37500</v>
      </c>
      <c r="I43" s="60">
        <f>G43/(G43+H43)</f>
        <v>0.75</v>
      </c>
      <c r="J43" s="41" t="s">
        <v>93</v>
      </c>
      <c r="K43" s="42" t="s">
        <v>200</v>
      </c>
      <c r="L43" s="42" t="s">
        <v>95</v>
      </c>
      <c r="M43" s="9">
        <v>150000</v>
      </c>
      <c r="N43" s="42" t="s">
        <v>201</v>
      </c>
      <c r="O43" s="42" t="s">
        <v>80</v>
      </c>
      <c r="P43" s="35" t="s">
        <v>202</v>
      </c>
      <c r="Q43" s="61"/>
      <c r="R43" s="61"/>
      <c r="S43" s="61"/>
      <c r="T43" s="61"/>
      <c r="U43" s="61"/>
      <c r="V43" s="61"/>
      <c r="W43" s="61"/>
      <c r="X43" s="61"/>
      <c r="Y43" s="61"/>
      <c r="Z43" s="61"/>
      <c r="AA43" s="61"/>
      <c r="AB43" s="61"/>
      <c r="AC43" s="61"/>
      <c r="AD43" s="61"/>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row>
    <row r="44" spans="1:55" ht="56.25">
      <c r="A44" s="103" t="s">
        <v>203</v>
      </c>
      <c r="B44" s="26" t="s">
        <v>72</v>
      </c>
      <c r="C44" s="26" t="s">
        <v>91</v>
      </c>
      <c r="D44" s="26" t="s">
        <v>92</v>
      </c>
      <c r="E44" s="108" t="s">
        <v>66</v>
      </c>
      <c r="F44" s="108" t="s">
        <v>75</v>
      </c>
      <c r="G44" s="9">
        <f>M44*0.9</f>
        <v>651373.20000000007</v>
      </c>
      <c r="H44" s="9">
        <f>M44*0.1</f>
        <v>72374.8</v>
      </c>
      <c r="I44" s="113"/>
      <c r="J44" s="102" t="s">
        <v>76</v>
      </c>
      <c r="K44" s="42" t="s">
        <v>204</v>
      </c>
      <c r="L44" s="42" t="s">
        <v>95</v>
      </c>
      <c r="M44" s="9">
        <v>723748</v>
      </c>
      <c r="N44" s="42" t="s">
        <v>205</v>
      </c>
      <c r="O44" s="42" t="s">
        <v>206</v>
      </c>
      <c r="P44" s="35" t="s">
        <v>202</v>
      </c>
      <c r="Q44" s="61"/>
      <c r="R44" s="61"/>
      <c r="S44" s="61"/>
      <c r="T44" s="61"/>
      <c r="U44" s="61"/>
      <c r="V44" s="61"/>
      <c r="W44" s="61"/>
      <c r="X44" s="61"/>
      <c r="Y44" s="61"/>
      <c r="Z44" s="61"/>
      <c r="AA44" s="61"/>
      <c r="AB44" s="61"/>
      <c r="AC44" s="61"/>
      <c r="AD44" s="61"/>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row>
    <row r="45" spans="1:55" ht="56.25">
      <c r="A45" s="127" t="s">
        <v>207</v>
      </c>
      <c r="B45" s="26" t="s">
        <v>72</v>
      </c>
      <c r="C45" s="26" t="s">
        <v>208</v>
      </c>
      <c r="D45" s="26" t="s">
        <v>74</v>
      </c>
      <c r="E45" s="108" t="s">
        <v>66</v>
      </c>
      <c r="F45" s="108" t="s">
        <v>75</v>
      </c>
      <c r="G45" s="9">
        <f>M45*I45</f>
        <v>213670.44</v>
      </c>
      <c r="H45" s="9">
        <f>M45-G45</f>
        <v>23741.160000000003</v>
      </c>
      <c r="I45" s="52">
        <v>0.9</v>
      </c>
      <c r="J45" s="102" t="s">
        <v>76</v>
      </c>
      <c r="K45" s="42" t="s">
        <v>209</v>
      </c>
      <c r="L45" s="42" t="s">
        <v>78</v>
      </c>
      <c r="M45" s="9">
        <v>237411.6</v>
      </c>
      <c r="N45" s="42" t="s">
        <v>210</v>
      </c>
      <c r="O45" s="42" t="s">
        <v>80</v>
      </c>
      <c r="P45" s="35" t="s">
        <v>211</v>
      </c>
      <c r="Q45" s="61"/>
      <c r="R45" s="61"/>
      <c r="S45" s="61"/>
      <c r="T45" s="61"/>
      <c r="U45" s="39">
        <v>260</v>
      </c>
      <c r="V45" s="61"/>
      <c r="W45" s="61"/>
      <c r="X45" s="61"/>
      <c r="Y45" s="39">
        <v>160</v>
      </c>
      <c r="Z45" s="61"/>
      <c r="AA45" s="39">
        <v>160</v>
      </c>
      <c r="AB45" s="61"/>
      <c r="AC45" s="61"/>
      <c r="AD45" s="61"/>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row>
    <row r="46" spans="1:55" ht="45">
      <c r="A46" s="125"/>
      <c r="B46" s="102"/>
      <c r="C46" s="102" t="s">
        <v>212</v>
      </c>
      <c r="D46" s="102" t="s">
        <v>74</v>
      </c>
      <c r="E46" s="102" t="s">
        <v>66</v>
      </c>
      <c r="F46" s="102" t="s">
        <v>75</v>
      </c>
      <c r="G46" s="114">
        <f>M46*I46</f>
        <v>731980.152</v>
      </c>
      <c r="H46" s="114">
        <f>M46-G46</f>
        <v>81331.128000000026</v>
      </c>
      <c r="I46" s="52">
        <v>0.9</v>
      </c>
      <c r="J46" s="102" t="s">
        <v>76</v>
      </c>
      <c r="K46" s="42" t="s">
        <v>213</v>
      </c>
      <c r="L46" s="42" t="s">
        <v>78</v>
      </c>
      <c r="M46" s="9">
        <f>813311.28</f>
        <v>813311.28</v>
      </c>
      <c r="N46" s="42" t="s">
        <v>210</v>
      </c>
      <c r="O46" s="42" t="s">
        <v>80</v>
      </c>
      <c r="P46" s="35" t="s">
        <v>211</v>
      </c>
      <c r="Q46" s="39">
        <v>20</v>
      </c>
      <c r="R46" s="61"/>
      <c r="S46" s="61"/>
      <c r="T46" s="39">
        <v>20</v>
      </c>
      <c r="U46" s="39">
        <v>6</v>
      </c>
      <c r="V46" s="61"/>
      <c r="W46" s="61"/>
      <c r="X46" s="61"/>
      <c r="Y46" s="61"/>
      <c r="Z46" s="61"/>
      <c r="AA46" s="61"/>
      <c r="AB46" s="61"/>
      <c r="AC46" s="61"/>
      <c r="AD46" s="61"/>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row>
    <row r="47" spans="1:55" ht="45">
      <c r="A47" s="103" t="s">
        <v>214</v>
      </c>
      <c r="B47" s="103" t="s">
        <v>72</v>
      </c>
      <c r="C47" s="103" t="s">
        <v>101</v>
      </c>
      <c r="D47" s="110" t="s">
        <v>74</v>
      </c>
      <c r="E47" s="110" t="s">
        <v>66</v>
      </c>
      <c r="F47" s="110" t="s">
        <v>75</v>
      </c>
      <c r="G47" s="9">
        <f>M47*I47</f>
        <v>900000</v>
      </c>
      <c r="H47" s="9">
        <f>M47-G47</f>
        <v>100000</v>
      </c>
      <c r="I47" s="52">
        <v>0.9</v>
      </c>
      <c r="J47" s="102" t="s">
        <v>76</v>
      </c>
      <c r="K47" s="26" t="s">
        <v>215</v>
      </c>
      <c r="L47" s="42" t="s">
        <v>78</v>
      </c>
      <c r="M47" s="9">
        <v>1000000</v>
      </c>
      <c r="N47" s="42" t="s">
        <v>99</v>
      </c>
      <c r="O47" s="42" t="s">
        <v>80</v>
      </c>
      <c r="P47" s="35" t="s">
        <v>211</v>
      </c>
      <c r="Q47" s="39">
        <v>1000</v>
      </c>
      <c r="R47" s="61"/>
      <c r="S47" s="61"/>
      <c r="T47" s="39">
        <v>1000</v>
      </c>
      <c r="U47" s="61"/>
      <c r="V47" s="61"/>
      <c r="W47" s="61"/>
      <c r="X47" s="61"/>
      <c r="Y47" s="61"/>
      <c r="Z47" s="61"/>
      <c r="AA47" s="61"/>
      <c r="AB47" s="61"/>
      <c r="AC47" s="61"/>
      <c r="AD47" s="61"/>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row>
    <row r="48" spans="1:55" s="2" customFormat="1" ht="17.25" customHeight="1">
      <c r="A48" s="92" t="s">
        <v>216</v>
      </c>
      <c r="B48" s="65"/>
      <c r="C48" s="65"/>
      <c r="D48" s="65"/>
      <c r="E48" s="65"/>
      <c r="F48" s="66"/>
      <c r="G48" s="57">
        <f>SUM(G49:G59)</f>
        <v>4815255.75</v>
      </c>
      <c r="H48" s="11">
        <f>SUM(H49:H59)</f>
        <v>1605085.25</v>
      </c>
      <c r="I48" s="11">
        <f>G48/(G48+H48)</f>
        <v>0.75</v>
      </c>
      <c r="J48" s="11">
        <f>SUM(J49:J59)</f>
        <v>0</v>
      </c>
      <c r="K48" s="11">
        <f>SUM(K49:K59)</f>
        <v>0</v>
      </c>
      <c r="L48" s="11">
        <f>SUM(L49:L59)</f>
        <v>0</v>
      </c>
      <c r="M48" s="11">
        <f>SUM(M49:M59)</f>
        <v>6420341</v>
      </c>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67">
        <f t="shared" ref="AS48:AZ48" si="3">SUM(AS49:AS59)</f>
        <v>100</v>
      </c>
      <c r="AT48" s="67">
        <f t="shared" si="3"/>
        <v>14</v>
      </c>
      <c r="AU48" s="67">
        <f t="shared" si="3"/>
        <v>100</v>
      </c>
      <c r="AV48" s="67">
        <f t="shared" si="3"/>
        <v>0</v>
      </c>
      <c r="AW48" s="67">
        <f t="shared" si="3"/>
        <v>120</v>
      </c>
      <c r="AX48" s="67">
        <f t="shared" si="3"/>
        <v>667</v>
      </c>
      <c r="AY48" s="67">
        <f t="shared" si="3"/>
        <v>2000</v>
      </c>
      <c r="AZ48" s="67">
        <f t="shared" si="3"/>
        <v>667</v>
      </c>
      <c r="BA48" s="34"/>
      <c r="BB48" s="34"/>
      <c r="BC48" s="34"/>
    </row>
    <row r="49" spans="1:55" ht="22.5">
      <c r="A49" s="125" t="s">
        <v>217</v>
      </c>
      <c r="B49" s="125" t="s">
        <v>72</v>
      </c>
      <c r="C49" s="125" t="s">
        <v>218</v>
      </c>
      <c r="D49" s="125" t="s">
        <v>74</v>
      </c>
      <c r="E49" s="125" t="s">
        <v>66</v>
      </c>
      <c r="F49" s="125" t="s">
        <v>75</v>
      </c>
      <c r="G49" s="133">
        <f>(M51+M50+M49+M52)*0.75</f>
        <v>1043775</v>
      </c>
      <c r="H49" s="133">
        <f>SUM(M49:M52)-G49</f>
        <v>347925</v>
      </c>
      <c r="I49" s="134">
        <f>G49/(G49+H49)</f>
        <v>0.75</v>
      </c>
      <c r="J49" s="69" t="s">
        <v>93</v>
      </c>
      <c r="K49" s="42" t="s">
        <v>219</v>
      </c>
      <c r="L49" s="42" t="s">
        <v>160</v>
      </c>
      <c r="M49" s="12">
        <v>601700</v>
      </c>
      <c r="N49" s="70" t="s">
        <v>179</v>
      </c>
      <c r="O49" s="42" t="s">
        <v>80</v>
      </c>
      <c r="P49" s="35" t="s">
        <v>220</v>
      </c>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61"/>
      <c r="AT49" s="39">
        <v>14</v>
      </c>
      <c r="AU49" s="61"/>
      <c r="AV49" s="61"/>
      <c r="AW49" s="39">
        <v>120</v>
      </c>
      <c r="AX49" s="61"/>
      <c r="AY49" s="61"/>
      <c r="AZ49" s="61"/>
      <c r="BA49" s="37"/>
      <c r="BB49" s="37"/>
      <c r="BC49" s="37"/>
    </row>
    <row r="50" spans="1:55" ht="22.5">
      <c r="A50" s="126"/>
      <c r="B50" s="126"/>
      <c r="C50" s="126"/>
      <c r="D50" s="126"/>
      <c r="E50" s="126"/>
      <c r="F50" s="126"/>
      <c r="G50" s="133"/>
      <c r="H50" s="133"/>
      <c r="I50" s="134"/>
      <c r="J50" s="69" t="s">
        <v>93</v>
      </c>
      <c r="K50" s="70" t="s">
        <v>221</v>
      </c>
      <c r="L50" s="70" t="s">
        <v>106</v>
      </c>
      <c r="M50" s="12">
        <v>500000</v>
      </c>
      <c r="N50" s="70" t="s">
        <v>222</v>
      </c>
      <c r="O50" s="42" t="s">
        <v>80</v>
      </c>
      <c r="P50" s="35" t="s">
        <v>220</v>
      </c>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61"/>
      <c r="AT50" s="61"/>
      <c r="AU50" s="61"/>
      <c r="AV50" s="61"/>
      <c r="AW50" s="61"/>
      <c r="AX50" s="61"/>
      <c r="AY50" s="61"/>
      <c r="AZ50" s="61"/>
      <c r="BA50" s="37"/>
      <c r="BB50" s="37"/>
      <c r="BC50" s="37"/>
    </row>
    <row r="51" spans="1:55" ht="22.5">
      <c r="A51" s="126"/>
      <c r="B51" s="126"/>
      <c r="C51" s="126"/>
      <c r="D51" s="126"/>
      <c r="E51" s="126"/>
      <c r="F51" s="126"/>
      <c r="G51" s="133"/>
      <c r="H51" s="133"/>
      <c r="I51" s="134"/>
      <c r="J51" s="69" t="s">
        <v>93</v>
      </c>
      <c r="K51" s="70" t="s">
        <v>223</v>
      </c>
      <c r="L51" s="70" t="s">
        <v>106</v>
      </c>
      <c r="M51" s="12">
        <v>220000</v>
      </c>
      <c r="N51" s="70" t="s">
        <v>224</v>
      </c>
      <c r="O51" s="42" t="s">
        <v>80</v>
      </c>
      <c r="P51" s="35" t="s">
        <v>220</v>
      </c>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9">
        <v>100</v>
      </c>
      <c r="AT51" s="61"/>
      <c r="AU51" s="61"/>
      <c r="AV51" s="61"/>
      <c r="AW51" s="61"/>
      <c r="AX51" s="61"/>
      <c r="AY51" s="61"/>
      <c r="AZ51" s="61"/>
      <c r="BA51" s="37"/>
      <c r="BB51" s="37"/>
      <c r="BC51" s="37"/>
    </row>
    <row r="52" spans="1:55" ht="22.5">
      <c r="A52" s="126"/>
      <c r="B52" s="126"/>
      <c r="C52" s="126"/>
      <c r="D52" s="126"/>
      <c r="E52" s="126"/>
      <c r="F52" s="126"/>
      <c r="G52" s="133"/>
      <c r="H52" s="133"/>
      <c r="I52" s="134"/>
      <c r="J52" s="69" t="s">
        <v>93</v>
      </c>
      <c r="K52" s="42" t="s">
        <v>225</v>
      </c>
      <c r="L52" s="42" t="s">
        <v>78</v>
      </c>
      <c r="M52" s="12">
        <v>70000</v>
      </c>
      <c r="N52" s="42" t="s">
        <v>226</v>
      </c>
      <c r="O52" s="42" t="s">
        <v>80</v>
      </c>
      <c r="P52" s="35" t="s">
        <v>220</v>
      </c>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61"/>
      <c r="AT52" s="61"/>
      <c r="AU52" s="61"/>
      <c r="AV52" s="61"/>
      <c r="AW52" s="61"/>
      <c r="AX52" s="61"/>
      <c r="AY52" s="61"/>
      <c r="AZ52" s="61"/>
      <c r="BA52" s="37"/>
      <c r="BB52" s="37"/>
      <c r="BC52" s="37"/>
    </row>
    <row r="53" spans="1:55" ht="60.6" customHeight="1">
      <c r="A53" s="126" t="s">
        <v>227</v>
      </c>
      <c r="B53" s="126" t="s">
        <v>72</v>
      </c>
      <c r="C53" s="126" t="s">
        <v>91</v>
      </c>
      <c r="D53" s="126" t="s">
        <v>92</v>
      </c>
      <c r="E53" s="126" t="s">
        <v>66</v>
      </c>
      <c r="F53" s="126" t="s">
        <v>75</v>
      </c>
      <c r="G53" s="132">
        <f>(M53+M54)*0.75</f>
        <v>225000</v>
      </c>
      <c r="H53" s="132">
        <f>(M53+M54)*0.25</f>
        <v>75000</v>
      </c>
      <c r="I53" s="134">
        <f>G53/(G53+H53)</f>
        <v>0.75</v>
      </c>
      <c r="J53" s="69" t="s">
        <v>93</v>
      </c>
      <c r="K53" s="42" t="s">
        <v>228</v>
      </c>
      <c r="L53" s="42" t="s">
        <v>95</v>
      </c>
      <c r="M53" s="9">
        <v>110000</v>
      </c>
      <c r="N53" s="42" t="s">
        <v>229</v>
      </c>
      <c r="O53" s="42" t="s">
        <v>80</v>
      </c>
      <c r="P53" s="35" t="s">
        <v>230</v>
      </c>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61"/>
      <c r="AT53" s="61"/>
      <c r="AU53" s="61"/>
      <c r="AV53" s="61"/>
      <c r="AW53" s="61"/>
      <c r="AX53" s="61"/>
      <c r="AY53" s="61"/>
      <c r="AZ53" s="61"/>
      <c r="BA53" s="37"/>
      <c r="BB53" s="37"/>
      <c r="BC53" s="37"/>
    </row>
    <row r="54" spans="1:55" ht="33.75">
      <c r="A54" s="126"/>
      <c r="B54" s="126"/>
      <c r="C54" s="126"/>
      <c r="D54" s="126"/>
      <c r="E54" s="126"/>
      <c r="F54" s="126"/>
      <c r="G54" s="132"/>
      <c r="H54" s="132"/>
      <c r="I54" s="134"/>
      <c r="J54" s="69" t="s">
        <v>93</v>
      </c>
      <c r="K54" s="42" t="s">
        <v>228</v>
      </c>
      <c r="L54" s="42" t="s">
        <v>95</v>
      </c>
      <c r="M54" s="9">
        <v>190000</v>
      </c>
      <c r="N54" s="42" t="s">
        <v>231</v>
      </c>
      <c r="O54" s="42" t="s">
        <v>80</v>
      </c>
      <c r="P54" s="35" t="s">
        <v>230</v>
      </c>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61"/>
      <c r="AT54" s="61"/>
      <c r="AU54" s="61"/>
      <c r="AV54" s="61"/>
      <c r="AW54" s="61"/>
      <c r="AX54" s="61"/>
      <c r="AY54" s="61"/>
      <c r="AZ54" s="61"/>
      <c r="BA54" s="37"/>
      <c r="BB54" s="37"/>
      <c r="BC54" s="37"/>
    </row>
    <row r="55" spans="1:55" ht="22.5">
      <c r="A55" s="126" t="s">
        <v>232</v>
      </c>
      <c r="B55" s="126" t="s">
        <v>72</v>
      </c>
      <c r="C55" s="126" t="s">
        <v>91</v>
      </c>
      <c r="D55" s="126" t="s">
        <v>92</v>
      </c>
      <c r="E55" s="126" t="s">
        <v>66</v>
      </c>
      <c r="F55" s="126" t="s">
        <v>233</v>
      </c>
      <c r="G55" s="133">
        <f>(M55+M56)*0.75</f>
        <v>1545617.25</v>
      </c>
      <c r="H55" s="133">
        <f>SUM(M55:M56)-G55</f>
        <v>515205.75</v>
      </c>
      <c r="I55" s="134">
        <f>G55/(G55+H55)</f>
        <v>0.75</v>
      </c>
      <c r="J55" s="69" t="s">
        <v>93</v>
      </c>
      <c r="K55" s="42" t="s">
        <v>234</v>
      </c>
      <c r="L55" s="42" t="s">
        <v>95</v>
      </c>
      <c r="M55" s="9">
        <v>850000</v>
      </c>
      <c r="N55" s="41" t="s">
        <v>235</v>
      </c>
      <c r="O55" s="42" t="s">
        <v>80</v>
      </c>
      <c r="P55" s="35" t="s">
        <v>236</v>
      </c>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61"/>
      <c r="AT55" s="61"/>
      <c r="AU55" s="39">
        <v>40</v>
      </c>
      <c r="AV55" s="71"/>
      <c r="AW55" s="71"/>
      <c r="AX55" s="45">
        <v>200</v>
      </c>
      <c r="AY55" s="71"/>
      <c r="AZ55" s="45">
        <v>200</v>
      </c>
      <c r="BA55" s="37"/>
      <c r="BB55" s="37"/>
      <c r="BC55" s="37"/>
    </row>
    <row r="56" spans="1:55" ht="22.5">
      <c r="A56" s="126"/>
      <c r="B56" s="126"/>
      <c r="C56" s="126"/>
      <c r="D56" s="126"/>
      <c r="E56" s="126"/>
      <c r="F56" s="126"/>
      <c r="G56" s="133"/>
      <c r="H56" s="133"/>
      <c r="I56" s="134"/>
      <c r="J56" s="69" t="s">
        <v>93</v>
      </c>
      <c r="K56" s="42" t="s">
        <v>234</v>
      </c>
      <c r="L56" s="42" t="s">
        <v>95</v>
      </c>
      <c r="M56" s="9">
        <f>850000+360823</f>
        <v>1210823</v>
      </c>
      <c r="N56" s="41" t="s">
        <v>79</v>
      </c>
      <c r="O56" s="42" t="s">
        <v>80</v>
      </c>
      <c r="P56" s="35" t="s">
        <v>236</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61"/>
      <c r="AT56" s="61"/>
      <c r="AU56" s="39">
        <f>40+20</f>
        <v>60</v>
      </c>
      <c r="AV56" s="71"/>
      <c r="AW56" s="71"/>
      <c r="AX56" s="45">
        <f>200+117</f>
        <v>317</v>
      </c>
      <c r="AY56" s="71"/>
      <c r="AZ56" s="45">
        <f>200+117</f>
        <v>317</v>
      </c>
      <c r="BA56" s="37"/>
      <c r="BB56" s="37"/>
      <c r="BC56" s="37"/>
    </row>
    <row r="57" spans="1:55" ht="33.75">
      <c r="A57" s="126" t="s">
        <v>237</v>
      </c>
      <c r="B57" s="126" t="s">
        <v>72</v>
      </c>
      <c r="C57" s="126" t="s">
        <v>238</v>
      </c>
      <c r="D57" s="126" t="s">
        <v>74</v>
      </c>
      <c r="E57" s="126" t="s">
        <v>66</v>
      </c>
      <c r="F57" s="126" t="s">
        <v>239</v>
      </c>
      <c r="G57" s="132">
        <f>SUM(M57:M59)*I57</f>
        <v>2000863.5</v>
      </c>
      <c r="H57" s="132">
        <f>SUM(M57:M59)-G57</f>
        <v>666954.5</v>
      </c>
      <c r="I57" s="134">
        <v>0.75</v>
      </c>
      <c r="J57" s="69" t="s">
        <v>93</v>
      </c>
      <c r="K57" s="42" t="s">
        <v>240</v>
      </c>
      <c r="L57" s="42" t="s">
        <v>241</v>
      </c>
      <c r="M57" s="9">
        <v>800000</v>
      </c>
      <c r="N57" s="42" t="s">
        <v>242</v>
      </c>
      <c r="O57" s="42" t="s">
        <v>80</v>
      </c>
      <c r="P57" s="35" t="s">
        <v>243</v>
      </c>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61"/>
      <c r="AT57" s="61"/>
      <c r="AU57" s="61"/>
      <c r="AV57" s="61"/>
      <c r="AW57" s="61"/>
      <c r="AX57" s="39">
        <v>50</v>
      </c>
      <c r="AY57" s="39">
        <v>600</v>
      </c>
      <c r="AZ57" s="39">
        <v>50</v>
      </c>
      <c r="BA57" s="37"/>
      <c r="BB57" s="37"/>
      <c r="BC57" s="37"/>
    </row>
    <row r="58" spans="1:55" ht="33.75">
      <c r="A58" s="126"/>
      <c r="B58" s="126"/>
      <c r="C58" s="126"/>
      <c r="D58" s="126"/>
      <c r="E58" s="126"/>
      <c r="F58" s="126"/>
      <c r="G58" s="132"/>
      <c r="H58" s="132"/>
      <c r="I58" s="134"/>
      <c r="J58" s="69" t="s">
        <v>93</v>
      </c>
      <c r="K58" s="42" t="s">
        <v>244</v>
      </c>
      <c r="L58" s="42" t="s">
        <v>241</v>
      </c>
      <c r="M58" s="9">
        <v>800000</v>
      </c>
      <c r="N58" s="42" t="s">
        <v>245</v>
      </c>
      <c r="O58" s="42" t="s">
        <v>80</v>
      </c>
      <c r="P58" s="35" t="s">
        <v>243</v>
      </c>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61"/>
      <c r="AT58" s="61"/>
      <c r="AU58" s="61"/>
      <c r="AV58" s="61"/>
      <c r="AW58" s="61"/>
      <c r="AX58" s="39">
        <v>50</v>
      </c>
      <c r="AY58" s="39">
        <v>600</v>
      </c>
      <c r="AZ58" s="39">
        <v>50</v>
      </c>
      <c r="BA58" s="37"/>
      <c r="BB58" s="37"/>
      <c r="BC58" s="37"/>
    </row>
    <row r="59" spans="1:55" ht="33.75">
      <c r="A59" s="126"/>
      <c r="B59" s="126"/>
      <c r="C59" s="126"/>
      <c r="D59" s="126"/>
      <c r="E59" s="126"/>
      <c r="F59" s="126"/>
      <c r="G59" s="132"/>
      <c r="H59" s="132"/>
      <c r="I59" s="134"/>
      <c r="J59" s="69" t="s">
        <v>93</v>
      </c>
      <c r="K59" s="70" t="s">
        <v>244</v>
      </c>
      <c r="L59" s="42" t="s">
        <v>241</v>
      </c>
      <c r="M59" s="9">
        <v>1067818</v>
      </c>
      <c r="N59" s="70" t="s">
        <v>246</v>
      </c>
      <c r="O59" s="70" t="s">
        <v>80</v>
      </c>
      <c r="P59" s="35" t="s">
        <v>243</v>
      </c>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61"/>
      <c r="AT59" s="61"/>
      <c r="AU59" s="61"/>
      <c r="AV59" s="61"/>
      <c r="AW59" s="61"/>
      <c r="AX59" s="39">
        <v>50</v>
      </c>
      <c r="AY59" s="39">
        <v>800</v>
      </c>
      <c r="AZ59" s="39">
        <v>50</v>
      </c>
      <c r="BA59" s="37"/>
      <c r="BB59" s="37"/>
      <c r="BC59" s="37"/>
    </row>
    <row r="60" spans="1:55" s="100" customFormat="1" ht="22.5">
      <c r="A60" s="34" t="s">
        <v>247</v>
      </c>
      <c r="B60" s="34"/>
      <c r="C60" s="34"/>
      <c r="D60" s="34"/>
      <c r="E60" s="34"/>
      <c r="F60" s="34"/>
      <c r="G60" s="11">
        <f>SUM(G61:G62)</f>
        <v>752000</v>
      </c>
      <c r="H60" s="11">
        <f>SUM(H61:H62)</f>
        <v>0</v>
      </c>
      <c r="I60" s="11">
        <f>G60/(G60+H60)</f>
        <v>1</v>
      </c>
      <c r="J60" s="34"/>
      <c r="K60" s="34"/>
      <c r="L60" s="34"/>
      <c r="M60" s="11">
        <f>SUM(M61:M62)</f>
        <v>752000</v>
      </c>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f>SUM(BA61:BA62)</f>
        <v>30</v>
      </c>
      <c r="BB60" s="34">
        <f>SUM(BB61:BB62)</f>
        <v>120</v>
      </c>
      <c r="BC60" s="34">
        <f>SUM(BC61:BC62)</f>
        <v>69</v>
      </c>
    </row>
    <row r="61" spans="1:55" s="100" customFormat="1" ht="33.75">
      <c r="A61" s="127" t="s">
        <v>248</v>
      </c>
      <c r="B61" s="127" t="s">
        <v>72</v>
      </c>
      <c r="C61" s="127" t="s">
        <v>249</v>
      </c>
      <c r="D61" s="127" t="s">
        <v>74</v>
      </c>
      <c r="E61" s="127" t="s">
        <v>66</v>
      </c>
      <c r="F61" s="127" t="s">
        <v>75</v>
      </c>
      <c r="G61" s="130">
        <v>752000</v>
      </c>
      <c r="H61" s="130">
        <v>0</v>
      </c>
      <c r="I61" s="128">
        <f>G61/(G61+H61)</f>
        <v>1</v>
      </c>
      <c r="J61" s="69" t="s">
        <v>93</v>
      </c>
      <c r="K61" s="42" t="s">
        <v>250</v>
      </c>
      <c r="L61" s="42" t="s">
        <v>251</v>
      </c>
      <c r="M61" s="13">
        <v>752000</v>
      </c>
      <c r="N61" s="70" t="s">
        <v>252</v>
      </c>
      <c r="O61" s="42" t="s">
        <v>80</v>
      </c>
      <c r="P61" s="35" t="s">
        <v>253</v>
      </c>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105">
        <v>30</v>
      </c>
      <c r="BB61" s="105">
        <v>120</v>
      </c>
      <c r="BC61" s="105">
        <v>69</v>
      </c>
    </row>
    <row r="62" spans="1:55" s="100" customFormat="1" ht="45">
      <c r="A62" s="125"/>
      <c r="B62" s="125"/>
      <c r="C62" s="125"/>
      <c r="D62" s="125"/>
      <c r="E62" s="125"/>
      <c r="F62" s="125"/>
      <c r="G62" s="131"/>
      <c r="H62" s="131"/>
      <c r="I62" s="129"/>
      <c r="J62" s="69" t="s">
        <v>93</v>
      </c>
      <c r="K62" s="42" t="s">
        <v>254</v>
      </c>
      <c r="L62" s="42" t="s">
        <v>255</v>
      </c>
      <c r="M62" s="13">
        <v>0</v>
      </c>
      <c r="N62" s="70" t="s">
        <v>256</v>
      </c>
      <c r="O62" s="42" t="s">
        <v>80</v>
      </c>
      <c r="P62" s="35" t="s">
        <v>257</v>
      </c>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61"/>
      <c r="BB62" s="61"/>
      <c r="BC62" s="61"/>
    </row>
    <row r="63" spans="1:55">
      <c r="A63" s="72" t="s">
        <v>258</v>
      </c>
      <c r="B63" s="72"/>
      <c r="C63" s="72"/>
      <c r="D63" s="72"/>
      <c r="E63" s="72"/>
      <c r="F63" s="72"/>
      <c r="G63" s="93">
        <f>+G7+G27+G48+G60</f>
        <v>66322478.888438284</v>
      </c>
      <c r="H63" s="93">
        <f>+H7+H27+H48+H60</f>
        <v>15322795.521561703</v>
      </c>
      <c r="I63" s="94"/>
    </row>
    <row r="64" spans="1:55">
      <c r="A64" s="72" t="s">
        <v>259</v>
      </c>
      <c r="B64" s="97"/>
      <c r="C64" s="97"/>
      <c r="D64" s="97"/>
      <c r="E64" s="97"/>
      <c r="F64" s="97"/>
      <c r="G64" s="93">
        <v>3979348.73</v>
      </c>
      <c r="H64" s="97"/>
      <c r="I64" s="30"/>
      <c r="J64" s="73"/>
    </row>
  </sheetData>
  <autoFilter ref="A3:BC69" xr:uid="{89CAA18B-BD35-422C-ADA0-4E65839C5C4B}"/>
  <mergeCells count="109">
    <mergeCell ref="A45:A46"/>
    <mergeCell ref="F53:F54"/>
    <mergeCell ref="G53:G54"/>
    <mergeCell ref="A49:A52"/>
    <mergeCell ref="B49:B52"/>
    <mergeCell ref="C49:C52"/>
    <mergeCell ref="D49:D52"/>
    <mergeCell ref="E49:E52"/>
    <mergeCell ref="F49:F52"/>
    <mergeCell ref="A7:F7"/>
    <mergeCell ref="A10:A11"/>
    <mergeCell ref="A12:A13"/>
    <mergeCell ref="C32:C33"/>
    <mergeCell ref="D32:D33"/>
    <mergeCell ref="E32:E33"/>
    <mergeCell ref="F32:F33"/>
    <mergeCell ref="C30:C31"/>
    <mergeCell ref="D30:D31"/>
    <mergeCell ref="E30:E31"/>
    <mergeCell ref="C22:C23"/>
    <mergeCell ref="D22:D23"/>
    <mergeCell ref="F30:F31"/>
    <mergeCell ref="A30:A33"/>
    <mergeCell ref="B30:B31"/>
    <mergeCell ref="E22:E23"/>
    <mergeCell ref="F22:F23"/>
    <mergeCell ref="A18:A19"/>
    <mergeCell ref="B18:B19"/>
    <mergeCell ref="C18:C19"/>
    <mergeCell ref="D18:D19"/>
    <mergeCell ref="E18:E19"/>
    <mergeCell ref="F18:F19"/>
    <mergeCell ref="A14:A15"/>
    <mergeCell ref="AM14:AM15"/>
    <mergeCell ref="G49:G52"/>
    <mergeCell ref="H49:H52"/>
    <mergeCell ref="I49:I52"/>
    <mergeCell ref="J18:J19"/>
    <mergeCell ref="H53:H54"/>
    <mergeCell ref="H30:H31"/>
    <mergeCell ref="I30:I31"/>
    <mergeCell ref="K1:O1"/>
    <mergeCell ref="K2:O2"/>
    <mergeCell ref="G30:G31"/>
    <mergeCell ref="G36:G38"/>
    <mergeCell ref="AJ14:AJ15"/>
    <mergeCell ref="G18:G19"/>
    <mergeCell ref="H18:H19"/>
    <mergeCell ref="I18:I19"/>
    <mergeCell ref="AE14:AE15"/>
    <mergeCell ref="A57:A59"/>
    <mergeCell ref="B57:B59"/>
    <mergeCell ref="C57:C59"/>
    <mergeCell ref="D57:D59"/>
    <mergeCell ref="E57:E59"/>
    <mergeCell ref="Q1:BC1"/>
    <mergeCell ref="Q2:AD2"/>
    <mergeCell ref="AE2:AR2"/>
    <mergeCell ref="AS2:AZ2"/>
    <mergeCell ref="BA2:BC2"/>
    <mergeCell ref="AO14:AO15"/>
    <mergeCell ref="AP14:AP15"/>
    <mergeCell ref="AQ14:AQ15"/>
    <mergeCell ref="AR14:AR15"/>
    <mergeCell ref="AF14:AF15"/>
    <mergeCell ref="AG14:AG15"/>
    <mergeCell ref="AH14:AH15"/>
    <mergeCell ref="AI14:AI15"/>
    <mergeCell ref="AK14:AK15"/>
    <mergeCell ref="AL14:AL15"/>
    <mergeCell ref="AN14:AN15"/>
    <mergeCell ref="H36:H38"/>
    <mergeCell ref="I36:I38"/>
    <mergeCell ref="I53:I54"/>
    <mergeCell ref="C55:C56"/>
    <mergeCell ref="D55:D56"/>
    <mergeCell ref="E55:E56"/>
    <mergeCell ref="F57:F59"/>
    <mergeCell ref="G57:G59"/>
    <mergeCell ref="H57:H59"/>
    <mergeCell ref="G55:G56"/>
    <mergeCell ref="I57:I59"/>
    <mergeCell ref="F55:F56"/>
    <mergeCell ref="H55:H56"/>
    <mergeCell ref="I55:I56"/>
    <mergeCell ref="A22:A23"/>
    <mergeCell ref="B22:B23"/>
    <mergeCell ref="E36:E38"/>
    <mergeCell ref="F36:F38"/>
    <mergeCell ref="A36:A39"/>
    <mergeCell ref="B36:B38"/>
    <mergeCell ref="C36:C38"/>
    <mergeCell ref="D36:D38"/>
    <mergeCell ref="I61:I62"/>
    <mergeCell ref="H61:H62"/>
    <mergeCell ref="G61:G62"/>
    <mergeCell ref="F61:F62"/>
    <mergeCell ref="E61:E62"/>
    <mergeCell ref="D61:D62"/>
    <mergeCell ref="C61:C62"/>
    <mergeCell ref="B61:B62"/>
    <mergeCell ref="A61:A62"/>
    <mergeCell ref="A53:A54"/>
    <mergeCell ref="B53:B54"/>
    <mergeCell ref="C53:C54"/>
    <mergeCell ref="D53:D54"/>
    <mergeCell ref="E53:E54"/>
    <mergeCell ref="A55:A56"/>
    <mergeCell ref="B55:B56"/>
  </mergeCells>
  <pageMargins left="0.7" right="0.7" top="0.75" bottom="0.75" header="0.3" footer="0.3"/>
  <pageSetup paperSize="9" orientation="portrait" r:id="rId1"/>
  <headerFooter>
    <oddFooter>&amp;L_x000D_&amp;1#&amp;"Aptos"&amp;10&amp;K000000 Socialinės apsaugos ir darbo ministerija bei pavaldžios įstaigos | Viešam naudojimui</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CF60-2D73-486F-97B1-B986378D0633}">
  <dimension ref="A1:I20"/>
  <sheetViews>
    <sheetView workbookViewId="0">
      <selection activeCell="B23" sqref="B23"/>
    </sheetView>
  </sheetViews>
  <sheetFormatPr defaultRowHeight="15"/>
  <cols>
    <col min="1" max="1" width="36.28515625" customWidth="1"/>
    <col min="2" max="2" width="52.5703125" customWidth="1"/>
    <col min="3" max="3" width="10.5703125" customWidth="1"/>
    <col min="4" max="4" width="16.28515625" customWidth="1"/>
    <col min="5" max="5" width="16" customWidth="1"/>
    <col min="6" max="6" width="16.28515625" customWidth="1"/>
    <col min="7" max="7" width="10.5703125" customWidth="1"/>
    <col min="8" max="8" width="16.7109375" customWidth="1"/>
    <col min="9" max="9" width="18.5703125" customWidth="1"/>
  </cols>
  <sheetData>
    <row r="1" spans="1:9" s="2" customFormat="1" ht="35.450000000000003" customHeight="1">
      <c r="A1" s="99" t="s">
        <v>260</v>
      </c>
    </row>
    <row r="2" spans="1:9">
      <c r="A2" s="2" t="s">
        <v>261</v>
      </c>
      <c r="B2" s="2" t="s">
        <v>262</v>
      </c>
      <c r="C2" s="2" t="s">
        <v>263</v>
      </c>
      <c r="D2" s="2" t="s">
        <v>264</v>
      </c>
      <c r="E2" s="2" t="s">
        <v>265</v>
      </c>
      <c r="F2" s="2" t="s">
        <v>266</v>
      </c>
      <c r="G2" s="2" t="s">
        <v>267</v>
      </c>
      <c r="H2" s="2" t="s">
        <v>268</v>
      </c>
      <c r="I2" s="2" t="s">
        <v>269</v>
      </c>
    </row>
    <row r="3" spans="1:9">
      <c r="A3" t="s">
        <v>270</v>
      </c>
      <c r="B3" t="s">
        <v>93</v>
      </c>
      <c r="C3" t="s">
        <v>271</v>
      </c>
      <c r="D3" s="3">
        <v>6763248.5700000003</v>
      </c>
      <c r="E3" s="3">
        <v>2254416.19</v>
      </c>
      <c r="F3" s="3">
        <v>2254416.19</v>
      </c>
      <c r="G3" s="3">
        <v>0</v>
      </c>
      <c r="H3" s="3">
        <v>9017664.7599999998</v>
      </c>
      <c r="I3" s="1">
        <v>0.75</v>
      </c>
    </row>
    <row r="4" spans="1:9">
      <c r="A4" t="s">
        <v>270</v>
      </c>
      <c r="B4" t="s">
        <v>272</v>
      </c>
      <c r="C4" t="s">
        <v>271</v>
      </c>
      <c r="D4" s="3">
        <v>9258266.6500000004</v>
      </c>
      <c r="E4" s="3">
        <v>2314566.66</v>
      </c>
      <c r="F4" s="3">
        <v>2314566.66</v>
      </c>
      <c r="G4" s="3"/>
      <c r="H4" s="3">
        <v>11572833.310000001</v>
      </c>
      <c r="I4" s="1">
        <v>0.80000000017299999</v>
      </c>
    </row>
    <row r="5" spans="1:9">
      <c r="A5" t="s">
        <v>270</v>
      </c>
      <c r="B5" t="s">
        <v>273</v>
      </c>
      <c r="C5" t="s">
        <v>271</v>
      </c>
      <c r="D5" s="3">
        <v>0</v>
      </c>
      <c r="E5" s="3">
        <v>0</v>
      </c>
      <c r="F5" s="3">
        <v>0</v>
      </c>
      <c r="G5" s="3">
        <v>0</v>
      </c>
      <c r="H5" s="3">
        <v>0</v>
      </c>
      <c r="I5" s="1"/>
    </row>
    <row r="6" spans="1:9">
      <c r="A6" t="s">
        <v>270</v>
      </c>
      <c r="B6" t="s">
        <v>274</v>
      </c>
      <c r="C6" t="s">
        <v>271</v>
      </c>
      <c r="D6" s="3">
        <v>18396622.41</v>
      </c>
      <c r="E6" s="3">
        <v>2044069.16</v>
      </c>
      <c r="F6" s="3">
        <v>2044069.16</v>
      </c>
      <c r="G6" s="3"/>
      <c r="H6" s="3">
        <v>20440691.57</v>
      </c>
      <c r="I6" s="1">
        <v>0.89999999985300005</v>
      </c>
    </row>
    <row r="7" spans="1:9" s="2" customFormat="1">
      <c r="A7" s="2" t="s">
        <v>275</v>
      </c>
      <c r="C7" s="2" t="s">
        <v>276</v>
      </c>
      <c r="D7" s="4">
        <v>34418137.630000003</v>
      </c>
      <c r="E7" s="4">
        <v>6613052.0099999998</v>
      </c>
      <c r="F7" s="4">
        <v>6613052.0099999998</v>
      </c>
      <c r="G7" s="4">
        <v>0</v>
      </c>
      <c r="H7" s="4">
        <v>41031189.640000001</v>
      </c>
      <c r="I7" s="5">
        <v>0.83882865527399997</v>
      </c>
    </row>
    <row r="8" spans="1:9">
      <c r="A8" t="s">
        <v>277</v>
      </c>
      <c r="B8" t="s">
        <v>93</v>
      </c>
      <c r="C8" t="s">
        <v>271</v>
      </c>
      <c r="D8" s="3">
        <v>16238416.439999999</v>
      </c>
      <c r="E8" s="3">
        <v>5982583.8899999997</v>
      </c>
      <c r="F8" s="3">
        <v>5982583.8899999997</v>
      </c>
      <c r="G8" s="3">
        <v>0</v>
      </c>
      <c r="H8" s="3">
        <v>22221000.329999998</v>
      </c>
      <c r="I8" s="1">
        <v>0.73076892123899995</v>
      </c>
    </row>
    <row r="9" spans="1:9">
      <c r="A9" t="s">
        <v>277</v>
      </c>
      <c r="B9" t="s">
        <v>273</v>
      </c>
      <c r="C9" t="s">
        <v>271</v>
      </c>
      <c r="D9" s="3">
        <v>0</v>
      </c>
      <c r="E9" s="3">
        <v>0</v>
      </c>
      <c r="F9" s="3">
        <v>0</v>
      </c>
      <c r="G9" s="3">
        <v>0</v>
      </c>
      <c r="H9" s="3">
        <v>0</v>
      </c>
      <c r="I9" s="1"/>
    </row>
    <row r="10" spans="1:9">
      <c r="A10" t="s">
        <v>277</v>
      </c>
      <c r="B10" t="s">
        <v>274</v>
      </c>
      <c r="C10" t="s">
        <v>271</v>
      </c>
      <c r="D10" s="3">
        <v>10098669.1</v>
      </c>
      <c r="E10" s="3">
        <v>1122074.3400000001</v>
      </c>
      <c r="F10" s="3">
        <v>1122074.3400000001</v>
      </c>
      <c r="G10" s="3"/>
      <c r="H10" s="3">
        <v>11220743.439999999</v>
      </c>
      <c r="I10" s="1">
        <v>0.90000000035600003</v>
      </c>
    </row>
    <row r="11" spans="1:9">
      <c r="A11" t="s">
        <v>278</v>
      </c>
      <c r="C11" t="s">
        <v>276</v>
      </c>
      <c r="D11" s="3">
        <v>26337085.539999999</v>
      </c>
      <c r="E11" s="3">
        <v>7104658.2300000004</v>
      </c>
      <c r="F11" s="3">
        <v>7104658.2300000004</v>
      </c>
      <c r="G11" s="3">
        <v>0</v>
      </c>
      <c r="H11" s="3">
        <v>33441743.77</v>
      </c>
      <c r="I11" s="1">
        <v>0.78755120310500004</v>
      </c>
    </row>
    <row r="12" spans="1:9">
      <c r="A12" t="s">
        <v>279</v>
      </c>
      <c r="B12" t="s">
        <v>93</v>
      </c>
      <c r="C12" t="s">
        <v>271</v>
      </c>
      <c r="D12" s="3">
        <v>4815255.75</v>
      </c>
      <c r="E12" s="3">
        <v>1605085.25</v>
      </c>
      <c r="F12" s="3">
        <v>1605085.25</v>
      </c>
      <c r="G12" s="3">
        <v>0</v>
      </c>
      <c r="H12" s="3">
        <v>6420341</v>
      </c>
      <c r="I12" s="1">
        <v>0.75</v>
      </c>
    </row>
    <row r="13" spans="1:9">
      <c r="A13" t="s">
        <v>279</v>
      </c>
      <c r="B13" t="s">
        <v>273</v>
      </c>
      <c r="C13" t="s">
        <v>271</v>
      </c>
      <c r="D13" s="3">
        <v>0</v>
      </c>
      <c r="E13" s="3">
        <v>0</v>
      </c>
      <c r="F13" s="3">
        <v>0</v>
      </c>
      <c r="G13" s="3">
        <v>0</v>
      </c>
      <c r="H13" s="3">
        <v>0</v>
      </c>
      <c r="I13" s="1"/>
    </row>
    <row r="14" spans="1:9" s="2" customFormat="1">
      <c r="A14" s="2" t="s">
        <v>280</v>
      </c>
      <c r="C14" s="2" t="s">
        <v>276</v>
      </c>
      <c r="D14" s="4">
        <v>4815255.75</v>
      </c>
      <c r="E14" s="4">
        <v>1605085.25</v>
      </c>
      <c r="F14" s="4">
        <v>1605085.25</v>
      </c>
      <c r="G14" s="4">
        <v>0</v>
      </c>
      <c r="H14" s="4">
        <v>6420341</v>
      </c>
      <c r="I14" s="5">
        <v>0.75</v>
      </c>
    </row>
    <row r="15" spans="1:9">
      <c r="A15" t="s">
        <v>281</v>
      </c>
      <c r="B15" t="s">
        <v>93</v>
      </c>
      <c r="C15" t="s">
        <v>271</v>
      </c>
      <c r="D15" s="3">
        <v>0</v>
      </c>
      <c r="E15" s="3">
        <v>0</v>
      </c>
      <c r="F15" s="3">
        <v>0</v>
      </c>
      <c r="G15" s="3">
        <v>0</v>
      </c>
      <c r="H15" s="3">
        <v>0</v>
      </c>
      <c r="I15" s="1"/>
    </row>
    <row r="16" spans="1:9">
      <c r="A16" t="s">
        <v>281</v>
      </c>
      <c r="B16" t="s">
        <v>273</v>
      </c>
      <c r="C16" t="s">
        <v>271</v>
      </c>
      <c r="D16" s="3">
        <v>0</v>
      </c>
      <c r="E16" s="3">
        <v>0</v>
      </c>
      <c r="F16" s="3">
        <v>0</v>
      </c>
      <c r="G16" s="3">
        <v>0</v>
      </c>
      <c r="H16" s="3">
        <v>0</v>
      </c>
      <c r="I16" s="1"/>
    </row>
    <row r="17" spans="1:9">
      <c r="A17" t="s">
        <v>281</v>
      </c>
      <c r="B17" t="s">
        <v>282</v>
      </c>
      <c r="C17" t="s">
        <v>276</v>
      </c>
      <c r="D17" s="3">
        <v>752000</v>
      </c>
      <c r="E17" s="3"/>
      <c r="F17" s="3"/>
      <c r="G17" s="3"/>
      <c r="H17" s="3">
        <v>752000</v>
      </c>
      <c r="I17" s="1">
        <v>1</v>
      </c>
    </row>
    <row r="18" spans="1:9" s="2" customFormat="1">
      <c r="A18" s="2" t="s">
        <v>283</v>
      </c>
      <c r="C18" s="2" t="s">
        <v>276</v>
      </c>
      <c r="D18" s="4">
        <v>752000</v>
      </c>
      <c r="E18" s="4">
        <v>0</v>
      </c>
      <c r="F18" s="4">
        <v>0</v>
      </c>
      <c r="G18" s="4">
        <v>0</v>
      </c>
      <c r="H18" s="4">
        <v>752000</v>
      </c>
      <c r="I18" s="5">
        <v>1</v>
      </c>
    </row>
    <row r="19" spans="1:9">
      <c r="A19" t="s">
        <v>284</v>
      </c>
      <c r="C19" t="s">
        <v>276</v>
      </c>
      <c r="D19" s="3">
        <v>3979348.73</v>
      </c>
      <c r="E19" s="3"/>
      <c r="F19" s="3"/>
      <c r="G19" s="3"/>
      <c r="H19" s="3">
        <v>3979348.73</v>
      </c>
      <c r="I19" s="1">
        <v>1</v>
      </c>
    </row>
    <row r="20" spans="1:9" s="2" customFormat="1">
      <c r="A20" s="2" t="s">
        <v>271</v>
      </c>
      <c r="C20" s="2" t="s">
        <v>276</v>
      </c>
      <c r="D20" s="4">
        <v>70301827.650000006</v>
      </c>
      <c r="E20" s="4">
        <v>15322795.49</v>
      </c>
      <c r="F20" s="4">
        <v>15322795.49</v>
      </c>
      <c r="G20" s="4">
        <v>0</v>
      </c>
      <c r="H20" s="4">
        <v>85624623.140000001</v>
      </c>
      <c r="I20" s="5">
        <v>0.82104685628899998</v>
      </c>
    </row>
  </sheetData>
  <pageMargins left="0.7" right="0.7" top="0.75" bottom="0.75" header="0.3" footer="0.3"/>
  <headerFooter>
    <oddFooter>&amp;L_x000D_&amp;1#&amp;"Aptos"&amp;10&amp;K000000 Socialinės apsaugos ir darbo ministerija bei pavaldžios įstaigos | Viešam naudojimui</oddFooter>
  </headerFooter>
  <tableParts count="1">
    <tablePart r:id="rId1"/>
  </tableParts>
</worksheet>
</file>

<file path=docMetadata/LabelInfo.xml><?xml version="1.0" encoding="utf-8"?>
<clbl:labelList xmlns:clbl="http://schemas.microsoft.com/office/2020/mipLabelMetadata">
  <clbl:label id="{3d7caaaa-5b58-4151-a93c-a7beabc3b2f0}" enabled="1" method="Privileged" siteId="{6062c8a2-d353-46c2-92d8-0dd75d1f4b6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Perevičiūtė</dc:creator>
  <cp:keywords/>
  <dc:description/>
  <cp:lastModifiedBy/>
  <cp:revision/>
  <dcterms:created xsi:type="dcterms:W3CDTF">2023-06-12T10:52:44Z</dcterms:created>
  <dcterms:modified xsi:type="dcterms:W3CDTF">2026-06-09T06:27:42Z</dcterms:modified>
  <cp:category/>
  <cp:contentStatus/>
</cp:coreProperties>
</file>