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X:\82StrukVald\AMIF 2014_2020\2022 bendri skyriaus dokumentai\3. PMIF\kvietimu planai\"/>
    </mc:Choice>
  </mc:AlternateContent>
  <xr:revisionPtr revIDLastSave="0" documentId="13_ncr:1_{48699F2E-22BB-4AE8-AF63-7AC8645E5129}" xr6:coauthVersionLast="47" xr6:coauthVersionMax="47" xr10:uidLastSave="{00000000-0000-0000-0000-000000000000}"/>
  <bookViews>
    <workbookView xWindow="-108" yWindow="-108" windowWidth="23256" windowHeight="12456" xr2:uid="{0D933A89-8B59-4B61-8A37-EC6DFFF3CAE8}"/>
  </bookViews>
  <sheets>
    <sheet name="Kvietimų planas" sheetId="14" r:id="rId1"/>
    <sheet name="PMIF programos asignavimai " sheetId="16" r:id="rId2"/>
  </sheets>
  <definedNames>
    <definedName name="_xlnm._FilterDatabase" localSheetId="0" hidden="1">'Kvietimų planas'!$A$3:$BC$68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4" l="1"/>
  <c r="S36" i="14"/>
  <c r="S40" i="14"/>
  <c r="G18" i="14"/>
  <c r="H18" i="14" s="1"/>
  <c r="H41" i="14"/>
  <c r="G41" i="14"/>
  <c r="G57" i="14"/>
  <c r="H57" i="14" s="1"/>
  <c r="G49" i="14"/>
  <c r="H49" i="14" s="1"/>
  <c r="H53" i="14"/>
  <c r="G53" i="14"/>
  <c r="AZ56" i="14"/>
  <c r="AX56" i="14"/>
  <c r="AU56" i="14"/>
  <c r="M56" i="14"/>
  <c r="M48" i="14" s="1"/>
  <c r="G47" i="14"/>
  <c r="H47" i="14" s="1"/>
  <c r="G45" i="14"/>
  <c r="H45" i="14" s="1"/>
  <c r="M46" i="14"/>
  <c r="G46" i="14" s="1"/>
  <c r="G39" i="14"/>
  <c r="H39" i="14" s="1"/>
  <c r="G42" i="14"/>
  <c r="H42" i="14" s="1"/>
  <c r="AA42" i="14"/>
  <c r="Z42" i="14"/>
  <c r="H44" i="14"/>
  <c r="G44" i="14"/>
  <c r="Q40" i="14"/>
  <c r="T40" i="14" s="1"/>
  <c r="Z41" i="14"/>
  <c r="AA41" i="14"/>
  <c r="J48" i="14"/>
  <c r="K48" i="14"/>
  <c r="L48" i="14"/>
  <c r="M60" i="14"/>
  <c r="R38" i="14"/>
  <c r="Q38" i="14"/>
  <c r="M38" i="14"/>
  <c r="AT36" i="14"/>
  <c r="T36" i="14"/>
  <c r="Q36" i="14"/>
  <c r="H13" i="14"/>
  <c r="G13" i="14"/>
  <c r="G55" i="14" l="1"/>
  <c r="H55" i="14"/>
  <c r="H46" i="14"/>
  <c r="I13" i="14"/>
  <c r="G11" i="14"/>
  <c r="H16" i="14" l="1"/>
  <c r="Q7" i="14"/>
  <c r="R7" i="14"/>
  <c r="T7" i="14"/>
  <c r="U7" i="14"/>
  <c r="V7" i="14"/>
  <c r="W7" i="14"/>
  <c r="X7" i="14"/>
  <c r="Y7" i="14"/>
  <c r="Z7" i="14"/>
  <c r="AA7" i="14"/>
  <c r="AB7" i="14"/>
  <c r="AC7" i="14"/>
  <c r="AD7" i="14"/>
  <c r="AE7" i="14"/>
  <c r="AG7" i="14"/>
  <c r="AH7" i="14"/>
  <c r="AI7" i="14"/>
  <c r="AJ7" i="14"/>
  <c r="AK7" i="14"/>
  <c r="AL7" i="14"/>
  <c r="AM7" i="14"/>
  <c r="AN7" i="14"/>
  <c r="AQ7" i="14"/>
  <c r="AR7" i="14"/>
  <c r="G8" i="14"/>
  <c r="H8" i="14"/>
  <c r="AP8" i="14"/>
  <c r="G9" i="14"/>
  <c r="H9" i="14"/>
  <c r="I10" i="14"/>
  <c r="H11" i="14"/>
  <c r="G12" i="14"/>
  <c r="H12" i="14"/>
  <c r="I14" i="14"/>
  <c r="G15" i="14"/>
  <c r="H15" i="14"/>
  <c r="I17" i="14"/>
  <c r="AP19" i="14"/>
  <c r="AP7" i="14" s="1"/>
  <c r="I20" i="14"/>
  <c r="M20" i="14"/>
  <c r="M7" i="14" s="1"/>
  <c r="I22" i="14"/>
  <c r="G24" i="14"/>
  <c r="H24" i="14"/>
  <c r="G25" i="14"/>
  <c r="H25" i="14"/>
  <c r="G26" i="14"/>
  <c r="H26" i="14"/>
  <c r="J27" i="14"/>
  <c r="K27" i="14"/>
  <c r="L27" i="14"/>
  <c r="N27" i="14"/>
  <c r="O27" i="14"/>
  <c r="I30" i="14"/>
  <c r="G32" i="14"/>
  <c r="H32" i="14"/>
  <c r="G33" i="14"/>
  <c r="H33" i="14"/>
  <c r="G34" i="14"/>
  <c r="H34" i="14" s="1"/>
  <c r="I35" i="14"/>
  <c r="M35" i="14"/>
  <c r="M37" i="14"/>
  <c r="Q37" i="14"/>
  <c r="I40" i="14"/>
  <c r="I43" i="14"/>
  <c r="AS48" i="14"/>
  <c r="AT48" i="14"/>
  <c r="AU48" i="14"/>
  <c r="AV48" i="14"/>
  <c r="AW48" i="14"/>
  <c r="AX48" i="14"/>
  <c r="AY48" i="14"/>
  <c r="AZ48" i="14"/>
  <c r="G60" i="14"/>
  <c r="I60" i="14" s="1"/>
  <c r="BA60" i="14"/>
  <c r="BB60" i="14"/>
  <c r="BC60" i="14"/>
  <c r="I61" i="14"/>
  <c r="M27" i="14" l="1"/>
  <c r="H7" i="14"/>
  <c r="G36" i="14"/>
  <c r="H36" i="14"/>
  <c r="G27" i="14"/>
  <c r="H27" i="14"/>
  <c r="I55" i="14"/>
  <c r="I9" i="14"/>
  <c r="I53" i="14"/>
  <c r="I49" i="14"/>
  <c r="AO19" i="14"/>
  <c r="AO7" i="14" s="1"/>
  <c r="H48" i="14"/>
  <c r="G48" i="14"/>
  <c r="H62" i="14" l="1"/>
  <c r="I48" i="14"/>
  <c r="I27" i="14"/>
  <c r="G16" i="14" l="1"/>
  <c r="G7" i="14" s="1"/>
  <c r="G62" i="14" s="1"/>
  <c r="AC27" i="14" l="1"/>
  <c r="AD27" i="14"/>
  <c r="AA27" i="14" l="1"/>
  <c r="AB27" i="14"/>
  <c r="Y27" i="14" l="1"/>
  <c r="Z27" i="14"/>
  <c r="W27" i="14" l="1"/>
  <c r="X27" i="14"/>
  <c r="U27" i="14" l="1"/>
  <c r="V27" i="14"/>
  <c r="R27" i="14" l="1"/>
  <c r="T27" i="14"/>
  <c r="Q27" i="14" l="1"/>
</calcChain>
</file>

<file path=xl/sharedStrings.xml><?xml version="1.0" encoding="utf-8"?>
<sst xmlns="http://schemas.openxmlformats.org/spreadsheetml/2006/main" count="655" uniqueCount="277">
  <si>
    <t>2021-2027 m. PMIF programos</t>
  </si>
  <si>
    <t xml:space="preserve">Kvietimai teikti paraiškas </t>
  </si>
  <si>
    <t xml:space="preserve">1 Konkretus tikslas </t>
  </si>
  <si>
    <t xml:space="preserve">2 konkretus tikslas </t>
  </si>
  <si>
    <t>3 konkretus tikslas</t>
  </si>
  <si>
    <t>4 konkretus tikslas</t>
  </si>
  <si>
    <t xml:space="preserve">Veikla
</t>
  </si>
  <si>
    <t>Veiklos tipas</t>
  </si>
  <si>
    <t>Galimi pareiškėjai</t>
  </si>
  <si>
    <t xml:space="preserve">Projektų atrankos būdas  </t>
  </si>
  <si>
    <t>Tiesiogiai prisidedama prie HP</t>
  </si>
  <si>
    <t>Finansavimo forma</t>
  </si>
  <si>
    <t>Skiriamos lėšos 
PMIF, ES</t>
  </si>
  <si>
    <t>Skiriamos lėšos 
PMIF, BF</t>
  </si>
  <si>
    <t>Finansavimo proporcija</t>
  </si>
  <si>
    <t>Investicijų tikslas</t>
  </si>
  <si>
    <t>Atrankos būdas / pareiškėjas</t>
  </si>
  <si>
    <t>Planuojama kvietimo suma</t>
  </si>
  <si>
    <t>Planuojamas kvietimo paskelbimo mėnuo</t>
  </si>
  <si>
    <t>Planuojamas paraiškų teikimo terminas</t>
  </si>
  <si>
    <t>P.1.3.1. &lt;...&gt;nelydimiems nepilnamečiams naujai sukurtų vietų skaičius</t>
  </si>
  <si>
    <t xml:space="preserve">1. Užsieniečių integracijos sistemos EBPO valstybėse narėse analizė, siekiant pritaikyti gerąją praktiką Lietuvos užsieniečių integracijos sistemoje ir nustatyti valstybės ir savivaldybių institucijų bei įstaigų atsakomybes ir funkcijas </t>
  </si>
  <si>
    <t>A</t>
  </si>
  <si>
    <t>-</t>
  </si>
  <si>
    <t>Taip</t>
  </si>
  <si>
    <t>2. Teisės aktų tobulinimas, siekiant aiškiai nustatyti valstybės ir savivaldybių institucijų bei įstaigų funkcijas ir atsakomybes užsieniečių integracijos srityje</t>
  </si>
  <si>
    <t>R</t>
  </si>
  <si>
    <t>2021-2027 m. PMIF programos 2 konkretus tikslas "Stiprinti ir plėtoti legalią migraciją į valstybes nares atsižvelgiant į jų ekonominius ir socialinius poreikius, taip pat skatinti veiksmingą trečiųjų valstybių piliečių integraciją bei socialinę įtrauktį ir prie jos prisidėti"</t>
  </si>
  <si>
    <t>3. Užsieniečių integracijos stebėsenos ir analizės, koordinavimo sistemos Lietuvos Respublikoje sukūrimas</t>
  </si>
  <si>
    <t>I</t>
  </si>
  <si>
    <t>SPPD</t>
  </si>
  <si>
    <t>P</t>
  </si>
  <si>
    <t xml:space="preserve">Taip </t>
  </si>
  <si>
    <t>D</t>
  </si>
  <si>
    <t>Užsieniečių integracijos stebėsenos ir analizės, koordinavimo sistemos Lietuvos Respublikoje sukūrimas</t>
  </si>
  <si>
    <t>Valstybės planavimas/ SPPD</t>
  </si>
  <si>
    <t>20 darbo dienų</t>
  </si>
  <si>
    <t>4. Užsieniečiams paslaugas teikiančių asmenų kompetencijų, reikalingų pažeidžiamiems asmenims atpažinti ir paslaugoms jiems teikti, didinimas ir kvalifikacijos tobulinimas</t>
  </si>
  <si>
    <t>Viešieji ir privatieji juridiniai asmenys, tarptautinės organizacijos ar jų padaliniai, teisėtai veikiantys Lietuvos Respublikoje</t>
  </si>
  <si>
    <t>K</t>
  </si>
  <si>
    <t>Užsieniečiams paslaugas teikiančių asmenų kompetencijų, reikalingų pažeidžiamiems asmenims atpažinti ir paslaugoms jiems teikti, didinimas ir kvalifikacijos tobulinimas</t>
  </si>
  <si>
    <t>Projektų konkursas</t>
  </si>
  <si>
    <t>Priėmimo ir integracijos agentūra (toliau - PIIA)</t>
  </si>
  <si>
    <t>stiprinti sąlygas užsieniečiams gauti sociokultūrinių žinių apie Lietuvą bei gerinti sąlygas sisteminiam užsieniečiams skirtų psichikos sveikatos stiprinimo bei psichosocialinės pagalbos teikimo intervencijų plėtojimui.</t>
  </si>
  <si>
    <t>Valstybės planavimas/PIIA</t>
  </si>
  <si>
    <t>PIIA</t>
  </si>
  <si>
    <t>Valstybės planavimas (PIIA)</t>
  </si>
  <si>
    <t xml:space="preserve">Viešieji ir privatieji juridiniai asmenys, tarptautinės organizacijos ar jų padaliniai, teisėtai veikiantys Lietuvos Respublikoje </t>
  </si>
  <si>
    <t>5. Užsieniečių integraciją skatinančios komunikacijos kampanijos, orientuotos į skirtingus tikslus (pvz., neteisėto darbo rizika, viešosios nuomonės keitimas), organizavimas</t>
  </si>
  <si>
    <t>Informacijos sklaida apie legalios migracijos kelius, nelegalios migracijos rizikas, nelegalaus darbo rizikas, darbuotojų ir darbdavių  teises ir pareigas</t>
  </si>
  <si>
    <t>Valstybės planavimas</t>
  </si>
  <si>
    <t xml:space="preserve">7. Vertimo paslaugų centralizavimas </t>
  </si>
  <si>
    <t>Vertimo paslaugų centralizavimas</t>
  </si>
  <si>
    <r>
      <t xml:space="preserve">9. </t>
    </r>
    <r>
      <rPr>
        <sz val="8"/>
        <color rgb="FF000000"/>
        <rFont val="Calibri"/>
        <family val="2"/>
        <charset val="186"/>
        <scheme val="minor"/>
      </rPr>
      <t xml:space="preserve">Paslaugų teikimas užsieniečiams: informavimas, konsultavimas, socialinės paslaugos, atvejo vadyba ir kt. </t>
    </r>
    <r>
      <rPr>
        <i/>
        <sz val="8"/>
        <color rgb="FF000000"/>
        <rFont val="Calibri"/>
        <family val="2"/>
        <charset val="186"/>
        <scheme val="minor"/>
      </rPr>
      <t>(</t>
    </r>
    <r>
      <rPr>
        <i/>
        <sz val="8"/>
        <color theme="1"/>
        <rFont val="Calibri"/>
        <family val="2"/>
        <charset val="186"/>
        <scheme val="minor"/>
      </rPr>
      <t>valstybės projektų planavimo būdu, papildant savivaldybių paslaugas)</t>
    </r>
  </si>
  <si>
    <t>Savivaldybių administracijos, savivaldybių valdomos įmonės, savivaldybės administravimo subjektai</t>
  </si>
  <si>
    <t>Integracijos paslaugos savivaldybėse</t>
  </si>
  <si>
    <t>40-60 darbo dienų</t>
  </si>
  <si>
    <t>30 darbo dienų</t>
  </si>
  <si>
    <t>2021-2027 m. PMIF programos 1 konkretus tikslas "Stiprinti ir plėtoti visus bendros Europos prieglobsčio sistemos aspektus, įskaitant jos išorės aspektą"</t>
  </si>
  <si>
    <t>10. ES valstybėse narėse taikomų prieglobsčio prašytojų priėmimo sistemų analizės atlikimas (Europos Sąjungos Prieglobsčio agentūra)</t>
  </si>
  <si>
    <t>11. Lietuvos Respublikos įstatymo „Dėl užsieniečių teisinės padėties“ ir kitų teisės aktų pakeitimų projektų rengimas, siekiant sudaryti tinkamas sąlygas prieglobsčio prašytojams ir gavėjams Pabėgėlių priėmimo centre arba kitoje Lietuvos Respublikos Vyriausybės įgaliotoje institucijoje</t>
  </si>
  <si>
    <r>
      <t>Valstybės sienos apsaugos tarnyba</t>
    </r>
    <r>
      <rPr>
        <sz val="8"/>
        <color theme="1"/>
        <rFont val="Calibri"/>
        <family val="2"/>
        <charset val="186"/>
        <scheme val="minor"/>
      </rPr>
      <t xml:space="preserve"> prie Lietuvos Respublikos vidaus reikalų ministerijos (toliau – VSAT)</t>
    </r>
    <r>
      <rPr>
        <sz val="8"/>
        <color rgb="FF000000"/>
        <rFont val="Calibri"/>
        <family val="2"/>
        <charset val="186"/>
        <scheme val="minor"/>
      </rPr>
      <t>, PIIA</t>
    </r>
  </si>
  <si>
    <t>Prieglobsčio prašytojų priėmimo infrastruktūros plėtra Valstybės sienos apsaugos tarnyboje</t>
  </si>
  <si>
    <t>Valstybės planavimas/VSAT</t>
  </si>
  <si>
    <t>Prieglobsčio prašytojų priėmimo infrastruktūra. Pabėgėlių administravimo informacinės sistemos tobulinimas</t>
  </si>
  <si>
    <t>13. Materialinių sąlygų ir paslaugų teikimo užtikrinimas užsieniečiams</t>
  </si>
  <si>
    <t>VSAT, PIIA, MD, Lietuvos advokatūra</t>
  </si>
  <si>
    <t>Materialinių sąlygų ir paslaugų teikimo užtikrinimas užsieniečiams Priėmimo ir integracijos agentūros padaliniuose</t>
  </si>
  <si>
    <t>Valstybės planavimas/MD</t>
  </si>
  <si>
    <t>Valstybės garantuojama teisinė pagalba prieglobsčio prašytojams</t>
  </si>
  <si>
    <t>Materialinių sąlygų ir paslaugų teikimo užtikrinimas užsieniečiams Vasltybės sienos apsaugos tarnybos padaliniuose</t>
  </si>
  <si>
    <t xml:space="preserve"> Privalomos užsieniečių priėmimo paslaugų teikimo stebėsena</t>
  </si>
  <si>
    <t>16.  Užsieniečių grąžinimo ir sulaikymo standartų laikymosi užtikrinimas</t>
  </si>
  <si>
    <t>VSAT, PIIA</t>
  </si>
  <si>
    <t>Sulaikymo infrastruktūros plėtra Užsieniečių registracijos centre</t>
  </si>
  <si>
    <t>Paslaugų teikimas užsieniečiams sulaikymo centruose</t>
  </si>
  <si>
    <t>Kompetencijų kėlimas</t>
  </si>
  <si>
    <t>Užsieniečių sulaikymo alternatyvų tyrimas</t>
  </si>
  <si>
    <t>17. Priverstinio užsieniečių grąžinimo stebėsenos vykdymas</t>
  </si>
  <si>
    <t>Priverstinio užsieniečių grąžinimo stebėsenos vykdymas</t>
  </si>
  <si>
    <t>18. Savanoriško užsieniečių grįžimo procedūrų ir reintegracijos organizavimas</t>
  </si>
  <si>
    <t xml:space="preserve">D   </t>
  </si>
  <si>
    <t>Savanoriško užsieniečių grįžimo procedūrų ir reintegracijos organizavimas</t>
  </si>
  <si>
    <r>
      <t xml:space="preserve">19. Užsieniečių priverstinio grąžinimo ir savanoriško grįžimo </t>
    </r>
    <r>
      <rPr>
        <i/>
        <sz val="8"/>
        <color theme="1"/>
        <rFont val="Calibri"/>
        <family val="2"/>
        <charset val="186"/>
        <scheme val="minor"/>
      </rPr>
      <t>(kai jis organizuojamas padedant ES institucijoms)</t>
    </r>
    <r>
      <rPr>
        <sz val="8"/>
        <color theme="1"/>
        <rFont val="Calibri"/>
        <family val="2"/>
        <charset val="186"/>
        <scheme val="minor"/>
      </rPr>
      <t xml:space="preserve"> procedūrų organizavimas  </t>
    </r>
  </si>
  <si>
    <t>VSAT</t>
  </si>
  <si>
    <t xml:space="preserve">D  </t>
  </si>
  <si>
    <t xml:space="preserve">Užsieniečių priverstinio grąžinimo ir savanoriško grįžimo procedūrų organizavimas  </t>
  </si>
  <si>
    <t>2021-2027 m. PMIF programos 4 konkretus tikslas</t>
  </si>
  <si>
    <t>20. Solidarumo mechanizmo tarp ES valstybių narių ir trečiųjų šalių įgyvendinimas</t>
  </si>
  <si>
    <t>MD, VSAT, PIIA</t>
  </si>
  <si>
    <t>Solidarumo mechanizmo tarp ES valstybių narių ir trečiųjų šalių įgyvendinimas</t>
  </si>
  <si>
    <t>Valstybės planavimas/SADM</t>
  </si>
  <si>
    <t>VSAT, PIIA, SADM, Panevėžio miesto savivaldybės administracija, Jonavos rajono savivaldybės administracija</t>
  </si>
  <si>
    <t>Lietuvos priėmimo sistemos reforma</t>
  </si>
  <si>
    <t>Techninė parama</t>
  </si>
  <si>
    <t>Prieglobsčio prašytojų priėmimo infrastruktūros Priėmimo ir integracijos agentūroje  modernizavimas ir plėtra </t>
  </si>
  <si>
    <t xml:space="preserve"> PIIA</t>
  </si>
  <si>
    <t>Finansavimo šaltinis</t>
  </si>
  <si>
    <t>8. Lietuvių kalbos mokymo pritaikomumo ir prieinamumo didinimas</t>
  </si>
  <si>
    <t>13.(1) Materialinių sąlygų ir paslaugų teikimo užtikrinimas užsieniečiams</t>
  </si>
  <si>
    <t>Migracijos departamentas</t>
  </si>
  <si>
    <t>Prieglobsčio procedūros veiksmingumo didinimas</t>
  </si>
  <si>
    <t xml:space="preserve">Humanitarinė pagalba naujiems iš Ukrainos atvykstantiems asmenims </t>
  </si>
  <si>
    <t xml:space="preserve">	
Lietuvos migracijos politikos gairių, patvirtintų Lietuvos Respublikos Vyriausybės 2014 m. sausio 22 d. nutarimu Nr. 79 „Dėl Lietuvos migracijos politikos gairių patvirtinimo“, 6.2.5 papunktyje nurodytas subjektas</t>
  </si>
  <si>
    <t xml:space="preserve">2026 m. kovas
</t>
  </si>
  <si>
    <t>Vaikų iš trečiųjų šalių įtraukties į švietimo sistemą stiprinimas</t>
  </si>
  <si>
    <t>9(1). Užsieniečių moterų ir vaikų specifinių kompetencijų kėlimas</t>
  </si>
  <si>
    <t>Vertinama</t>
  </si>
  <si>
    <t>2025 m. lapkritis</t>
  </si>
  <si>
    <t>2026 m. vasaris</t>
  </si>
  <si>
    <t>Intervencijos kodas</t>
  </si>
  <si>
    <t>I.001 (Priėmimo sąlygos)</t>
  </si>
  <si>
    <t>I.002 (Prieglobsčio procedūros)</t>
  </si>
  <si>
    <t xml:space="preserve">2025 m. lapkritis
</t>
  </si>
  <si>
    <t>Prieglobsčio prašytojų galimybių naudotis sveikatos priežiūros paslaugomis gerinimas</t>
  </si>
  <si>
    <t>I.005 (Specialių priėmimo ir procedūrinių poreikių turintys asmenys)</t>
  </si>
  <si>
    <t>Nepriklausoma pagrindinių teisių stebėsena</t>
  </si>
  <si>
    <t>Nacionalinė teismų administracija</t>
  </si>
  <si>
    <t>Užsieniečių prieglobsčio ir priėmimo srityje dirbančių specialistų kompetencijų didinimas, gebėjimų stiprinimas</t>
  </si>
  <si>
    <t xml:space="preserve">Ankstyvosios integracijos priemonės </t>
  </si>
  <si>
    <t>II.005 (Integracijos priemonės – pilietinis ugdymas ir kitoks mokymas)</t>
  </si>
  <si>
    <t>II.004 (Integracijos priemonės. Kalbų mokymas)</t>
  </si>
  <si>
    <t>II.003 (Integravimo priemonės – informavimas ir orientavimas, vieno langelio principas)</t>
  </si>
  <si>
    <t>II. 006 Priimančioji visuomenė: supažindinimas, dalyvavimas ir mainai</t>
  </si>
  <si>
    <t>II.011 (Pažeidžiami asmenys, įskaitant nelydimus nepilnamečius)</t>
  </si>
  <si>
    <t>Paslaugų teikimas ir saugus būstas prekybos žmonėmis aukoms</t>
  </si>
  <si>
    <t>II.002 (Prekybos žmonėmis aukos)</t>
  </si>
  <si>
    <t>Sociokultūrinių žinių apie Lietuvą teikimas ir psichikos sveikatos stiprinimo bei psichosocialinės pagalbos teikimas</t>
  </si>
  <si>
    <t xml:space="preserve">4 (1). Užsieniečių sociokultūrinių žinių didinimo ir psichikos sveikatos, psichosocialinės pagalbos teikimo užsieniečiams sąlygų gerinimas </t>
  </si>
  <si>
    <t>Veiksmų rūšis</t>
  </si>
  <si>
    <t>Sąjungos paramos (visos arba viešosios) apskaičiavimo pagrindas</t>
  </si>
  <si>
    <t>Sąjungos įnašas a</t>
  </si>
  <si>
    <t>Įprasti veiksmai</t>
  </si>
  <si>
    <t>Iš viso</t>
  </si>
  <si>
    <t>Konkretūs veiksmai</t>
  </si>
  <si>
    <t>Veiksmai pagal IV priedą</t>
  </si>
  <si>
    <t>Perkėlimas ir humanitarinis priėmimas</t>
  </si>
  <si>
    <t>Iš viso BEPS</t>
  </si>
  <si>
    <t>Iš viso Teisėta migracija ir integracija</t>
  </si>
  <si>
    <t>Iš viso Grąžinti</t>
  </si>
  <si>
    <t>Iš viso Solidarumas</t>
  </si>
  <si>
    <t>Iš Ukrainos pasitraukusių asmenų ryšių su Ukraina palaikymas. Integracijos ir reintegracijos galimybių didinimas</t>
  </si>
  <si>
    <t xml:space="preserve">II.001.Integracijos strategijų plėtra </t>
  </si>
  <si>
    <t>Priėmimo infrastruktūros palaikymas kritiniam teisėtos migracijos antplūdžiui suvaldyti</t>
  </si>
  <si>
    <t>III.007.Priverstinio grąžinimo stebėsenos sistema</t>
  </si>
  <si>
    <t xml:space="preserve">III.004.Remiamas savanoriškas grįžimas </t>
  </si>
  <si>
    <t>III.006.Išsiuntimo ir (arba) grąžinimo operacijos</t>
  </si>
  <si>
    <t>III.002.Priėmimo ir (arba) sulaikymo sąlygos</t>
  </si>
  <si>
    <t>IV.004.Humanitarinis priėmimas (19 straipsnis)</t>
  </si>
  <si>
    <t>12(2). Prieglobsčio prašytojų priėmimo infrastruktūros atnaujinimas ir plėtra</t>
  </si>
  <si>
    <t xml:space="preserve">Sukurti akredituotą nuotolinio mokymo programą specialistams, dirbantiems sveikatos sektoriuje, siekiant didinti užsieniečių prieigą prie sveikatos paslaugų bei jų kokybę. </t>
  </si>
  <si>
    <t>I.003 	
(Sąjungos acquis įgyvendinimas)</t>
  </si>
  <si>
    <t>Ukrainiečiams skirtos reabilitacijos paslaugos</t>
  </si>
  <si>
    <t xml:space="preserve">Teismų sistemos pajėgumų stiprinimas </t>
  </si>
  <si>
    <r>
      <t xml:space="preserve">9(2). </t>
    </r>
    <r>
      <rPr>
        <sz val="8"/>
        <color rgb="FF000000"/>
        <rFont val="Calibri"/>
        <family val="2"/>
        <charset val="186"/>
        <scheme val="minor"/>
      </rPr>
      <t xml:space="preserve">Paslaugų teikimas užsieniečiams: informavimas, konsultavimas, socialinės paslaugos, atvejo vadyba ir kt. </t>
    </r>
    <r>
      <rPr>
        <i/>
        <sz val="8"/>
        <color rgb="FF000000"/>
        <rFont val="Calibri"/>
        <family val="2"/>
        <charset val="186"/>
        <scheme val="minor"/>
      </rPr>
      <t>(konkurso b</t>
    </r>
    <r>
      <rPr>
        <i/>
        <sz val="8"/>
        <color theme="1"/>
        <rFont val="Calibri"/>
        <family val="2"/>
        <charset val="186"/>
        <scheme val="minor"/>
      </rPr>
      <t>ūdu, papildant savivaldybių paslaugas)</t>
    </r>
  </si>
  <si>
    <t>9(3). Vaikų iš trečiųjų šalių įtraukties į švietimo sistemą stiprinimas</t>
  </si>
  <si>
    <t>9(4). Ukrainiečiams skirtos reabilitacijos paslaugos</t>
  </si>
  <si>
    <t>9(5.) Iš Ukrainos pasitraukusių asmenų ryšių su Ukraina palaikymas. Integracijos ir reintegracijos galimybių didinimas</t>
  </si>
  <si>
    <t xml:space="preserve">2(2) Ankstyvosios integracijos priemonės </t>
  </si>
  <si>
    <t>2(1). Teisės aktų tobulinimas, siekiant perkelti ES Migracijos ir prieglobsčio pakto reikalavimus į nacionalinę teisę</t>
  </si>
  <si>
    <t>14. Užsieniečių prieglobsčio ir priėmimo srityje dirbančių specialistų kompetencijų didinimas, gebėjimų stiprinimas</t>
  </si>
  <si>
    <t>2026 m. rugsėjis</t>
  </si>
  <si>
    <t>2026 m. gegužė</t>
  </si>
  <si>
    <t>2026 m. balandis</t>
  </si>
  <si>
    <t>2027 m. kovas</t>
  </si>
  <si>
    <t>2026 m.  Lapkritis</t>
  </si>
  <si>
    <t>2026 m. lapkritis</t>
  </si>
  <si>
    <t>2026 m. spalis</t>
  </si>
  <si>
    <t xml:space="preserve"> Lietuvių kalbos mokymo pritaikomumo ir prieinamumo didinimas (1)</t>
  </si>
  <si>
    <t xml:space="preserve"> Lietuvių kalbos mokymo pritaikomumo ir prieinamumo didinimas (2)</t>
  </si>
  <si>
    <t xml:space="preserve"> I. 006 Priimančioji visuomenė: supažindinimas, dalyvavimas ir mainai</t>
  </si>
  <si>
    <t>Užtikrinti geriausius vaiko interesus (1)</t>
  </si>
  <si>
    <t>15. Privalomos užsieniečių priėmimo paslaugų teikimo stebėsenos vykdymas</t>
  </si>
  <si>
    <t>15(1). Privalomos užsieniečių priėmimo paslaugų teikimo stebėsenos vykdymas ir nepriklausomas pagrindinių teisių stebėsenos mechanizmas</t>
  </si>
  <si>
    <t>Kultūros ministerija, Europos socialinio fondo agentūra</t>
  </si>
  <si>
    <t>Užtikrinti geriausius vaiko interesus (2)</t>
  </si>
  <si>
    <t xml:space="preserve">2026 m. vasaris </t>
  </si>
  <si>
    <t>Sveikatos apsaugos ministerija</t>
  </si>
  <si>
    <t>Valstybės planavimas (VSAT)</t>
  </si>
  <si>
    <t>Valstybės planavimas (MD)</t>
  </si>
  <si>
    <t>Valstybės planavimas (VSAT, PIIA, SADM, Panevėžio miesto savivaldybės administracija, Jonavos rajono savivaldybės administracija)</t>
  </si>
  <si>
    <t>14(1). Teismų sistemos pajėgumų didinimas</t>
  </si>
  <si>
    <t xml:space="preserve">15(2). Užtikrinti geriausius vaiko interesus </t>
  </si>
  <si>
    <t>15(3). Prieglobsčio prašytojų galimybių naudotis sveikatos priežiūros paslaugomis gerinimas</t>
  </si>
  <si>
    <t xml:space="preserve">	
PIIA, Socialinės globos centras "Vija"</t>
  </si>
  <si>
    <t xml:space="preserve">	
PIIA, Valstybės vaiko teisių apsaugos ir įvaikinimo tarnyba prie Socialinės apsaugos ir darbo ministerijos</t>
  </si>
  <si>
    <t>Užsieniečių priverstinio grąžinimo ir savanoriško grįžimo procedūrų organizavimas  (Įskaitant pasienio procedūroje)</t>
  </si>
  <si>
    <t>Iš viso (veikloms įgyvendinti):</t>
  </si>
  <si>
    <t>12(1). Prieglobsčio procedūros veiksmingumo didinimas</t>
  </si>
  <si>
    <t xml:space="preserve">	
O.1.3 Naujai sukurtų vietų priėmimo infrastruktūroje pagal Sąjungos acquis skaičius (P-09-003-02-02-07-26)</t>
  </si>
  <si>
    <t>O.3.3 Grįžtančiųjų, gavusių reintegracijos pagalbą, skaičius (P-09-003-02-02-07-27)</t>
  </si>
  <si>
    <t>O.1.1 Tikslinei grupei priklausančių asmenų, kuriems teikiama parama priėmimo ir prieglobsčio sistemų srityje, skaičius 	
(P-09-003-02-02-07-05)</t>
  </si>
  <si>
    <t>O.1.1.1. iš jų teisinę pagalbą gavusių dalyvių skaičius (P-09-003-02-02-07-06)</t>
  </si>
  <si>
    <t>O.1.1.2 iš jų dalyvių, kuriems suteikta kitokio pobūdžio parama, įskaitant informaciją ir pagalbą prieglobsčio procedūros metu, skaičius (P-09-003-02-02-07-07)</t>
  </si>
  <si>
    <t>O.1.1.3 iš jų pažeidžiamų dalyvių, kuriems suteikta pagalba, skaičius (	P-09-003-02-02-07-08)</t>
  </si>
  <si>
    <t>O.1.2 Prieglobsčio srityje dirbančių asmenų, dalyvavusių mokymuose prieglobsčio srities temomis, skaičius (	P-09-003-02-02-07-09)</t>
  </si>
  <si>
    <t>O.2.4 Informacinių paketų ir kampanijų, siekiant didinti informuotumą apie legalius migracijos į Europos Sąjungą kanalus, skaičius (P-09-003-02-02-07-16)</t>
  </si>
  <si>
    <t>O.1.4. Renovuotų ir (arba) atnaujintų vietų priėmimo infrastruktūroje pagal Sąjungos acquis skaičius (P-09-003-02-02-07-10)</t>
  </si>
  <si>
    <t>O.2.2. Vietos ir regioninių valdžios institucijų, gaunančių paramą integracijos priemonėms, skaičius (	P-09-003-02-02-07-11)</t>
  </si>
  <si>
    <t>O.2.3. Paremtų asmenų skaičius (P-09-003-02-02-07-12)</t>
  </si>
  <si>
    <t>O.2.3.1 	kalbų kursų dalyvių skaičius (P-09-003-02-02-07-13)</t>
  </si>
  <si>
    <t>O.2.3.2. pilietinio orientavimosi kursų dalyvių skaičius (P-09-003-02-02-07-14)</t>
  </si>
  <si>
    <t>O.2.3.3. individualias profesines rekomendacijas gavusių asmenų skaičius (P-09-003-02-02-07-15)</t>
  </si>
  <si>
    <t>O.2.5. Asmenų, gavusių informaciją ir (arba) pagalbą teikiant paraišką dėl šeimos susijungimo, skaičius (P-09-003-02-02-07-17)</t>
  </si>
  <si>
    <t>O.2.7. Integracijos projektų, kurių pareiškėjai yra vietos ir regioninės valdžios institucijos, skaičius (P-09-003-02-02-07-18)</t>
  </si>
  <si>
    <t>O.1.4.1. Iš jų renovuotų ir (arba) atnaujintų vietų nelydimiems nepilnamečiams skaičius (P-09-003-02-02-07-28)</t>
  </si>
  <si>
    <t>R.1.5. Prieglobsčio srityje dirbančių asmenų, baigusių dalyvavimą mokymuose prieglobsčio srities temomis ir manančių, kad mokymai yra naudingi jų darbui, skaičius (R-09-003-02-02-07-02)</t>
  </si>
  <si>
    <t>R.1.6. Dalyvių, kurie praėjus trims mėnesiams po mokymo veiklos praneša, kad naudojasi mokymo metu įgytais įgūdžiais ir kompetencijomis, skaičius (R-09-003-02-02-07-03)</t>
  </si>
  <si>
    <t>R.1.7. Asmenų, kurie buvo apgyvendinti patalpose, kuriomis naudojamasi kaip alternatyva sulaikymui, skaičius</t>
  </si>
  <si>
    <t>R.1.7.1 Nelydimų nepilnamečių, kurie buvo apgyvendinti patalpose, kuriomis naudojamasi kaip alternatyva sulaikymui, skaičius</t>
  </si>
  <si>
    <t xml:space="preserve"> R.1.7.2 Šeimos, kurios buvo apgyvendintos patalpose, kuriomis naudojamasi kaip alternatyva sulaikymui, skaičius</t>
  </si>
  <si>
    <t>O.2.1. Dalyvių, kurie buvo įtraukti į iki išvykimo taikomas priemones, skaičius</t>
  </si>
  <si>
    <t>O.2.6. Asmenų, kurie naudojasi mobilumo programomis, skaičius</t>
  </si>
  <si>
    <t>R.2.8. Kalbų kursų dalyvių, kurie baigę kalbos kursus pagerino priimančiosios šalies kalbos mokėjimo lygį bent vienu Bendrųjų Europos kalbų metmenų arba lygiaverčiu nacionaliniu lygiu, skaičius (R-09-003-02-02-07-04)</t>
  </si>
  <si>
    <t>2021-2027 m. PMIF programos stebėsenos rodiklių siektinos reikšmės (pagal Konkretų tikslą, Europos Komisijos suteiktą rodiklio kodą, pavadinimą ir Pažangos proiemonės rodiklio kodą (jei yra))</t>
  </si>
  <si>
    <t>R.2.9. Dalyvių, kurie mano, kad dalyvavimas projekte padėjo jiems integracijos metu, skaičius (R-09-003-02-02-07-05)</t>
  </si>
  <si>
    <t xml:space="preserve">R.2.10. Dalyvių, kurie pateikė prašymus dėl trečiojoje valstybėje įgytos jų kvalifikacijos / įgūdžių pripažinimo / įvertinimo, skaičius </t>
  </si>
  <si>
    <t>R.2.11. Dalyvių, kurie pateikė prašymus dėl ilgalaikio gyventojo statuso, skaičius</t>
  </si>
  <si>
    <t>O.3.1. Grįžimo srityje dirbančių asmenų, dalyvavusių mokymų veiklose, skaičius (P-09-003-02-02-07-19)</t>
  </si>
  <si>
    <t>O.3.2. Įsigytų įrangos vienetų skaičius, įskaitant įsigytų arba atnaujintų Informacinių ir ryšių technologijų (IRT) infrastruktūros skaičius (P-09-003-02-02-07-20)</t>
  </si>
  <si>
    <t>O.3.5. Atnaujintų arba renovuotų vietų sulaikymo centruose skaičius (P-09-003-02-02-07-21)</t>
  </si>
  <si>
    <t>O.3.4. Sulaikymo centruose sukurtų vietų skaičius</t>
  </si>
  <si>
    <t>R.3.6. Savanoriškai grįžusių asmenų skaičius (R-09-003-02-02-07-06)</t>
  </si>
  <si>
    <t>R.3.7. Išsiųstų grąžinamų asmenų skaičius (R-09-003-02-02-07-07)</t>
  </si>
  <si>
    <t>R.3.8. Grįžtančiųjų, kuriems taikomos alternatyvios sulaikymui priemonės, skaičius (R-09-003-02-02-07-08)</t>
  </si>
  <si>
    <t>R.4.3. Tarptautinės apsaugos prašytojų ir asmenų, kuriems suteikta tarptautinė apsauga, perduotų iš vienos valstybės narės į kitą, skaičius (R-09-003-02-02-07-08)</t>
  </si>
  <si>
    <t>R.4.4. Perkeltų asmenų skaičius (R-09-003-02-02-07-10)</t>
  </si>
  <si>
    <t>R.4.5. Pagal humanitarinio priėmimo planą perkeltų asmenų skaičius (R-09-003-02-02-07-11)</t>
  </si>
  <si>
    <t>1. BEPS</t>
  </si>
  <si>
    <t>Pact and Ukraine specific action</t>
  </si>
  <si>
    <t xml:space="preserve"> </t>
  </si>
  <si>
    <t>2. Teisėta migracija ir integracija</t>
  </si>
  <si>
    <t>3. Grąžinti</t>
  </si>
  <si>
    <t>4. Solidarumas</t>
  </si>
  <si>
    <t>TA.36(5). Techninė pagalba – fiksuoto dydžio (BNR 36 straipsnio 5 dalis)</t>
  </si>
  <si>
    <t>Konkretus tikslas KT</t>
  </si>
  <si>
    <t>Nacionalinis įnašas - b=c+d</t>
  </si>
  <si>
    <t>Viešasis</t>
  </si>
  <si>
    <t>Privatusis</t>
  </si>
  <si>
    <t>Iš viso e=a+b</t>
  </si>
  <si>
    <t>Bendro finansavimo norma f=a/e</t>
  </si>
  <si>
    <r>
      <rPr>
        <sz val="8"/>
        <color theme="1"/>
        <rFont val="Calibri"/>
        <family val="2"/>
        <charset val="186"/>
        <scheme val="minor"/>
      </rPr>
      <t>6.</t>
    </r>
    <r>
      <rPr>
        <strike/>
        <sz val="8"/>
        <color theme="1"/>
        <rFont val="Calibri"/>
        <family val="2"/>
        <charset val="186"/>
        <scheme val="minor"/>
      </rPr>
      <t xml:space="preserve"> </t>
    </r>
    <r>
      <rPr>
        <sz val="8"/>
        <color theme="1"/>
        <rFont val="Calibri"/>
        <family val="2"/>
        <charset val="186"/>
        <scheme val="minor"/>
      </rPr>
      <t>Medijų sektoriaus profesionalų gebėjimų stiprinimas siekiant geresnio visuomenės informavimo apie migracijos procesus</t>
    </r>
  </si>
  <si>
    <r>
      <t xml:space="preserve"> </t>
    </r>
    <r>
      <rPr>
        <sz val="8"/>
        <rFont val="Calibri"/>
        <family val="2"/>
        <charset val="186"/>
        <scheme val="minor"/>
      </rPr>
      <t>Medijų sektoriaus profesionalų gebėjimų stiprinimas siekiant geresnio visuomenės informavimo apie migracijos procesus</t>
    </r>
  </si>
  <si>
    <r>
      <t>12. Prieglobsčio prašytojų</t>
    </r>
    <r>
      <rPr>
        <sz val="8"/>
        <color rgb="FFFF0000"/>
        <rFont val="Calibri"/>
        <family val="2"/>
        <charset val="186"/>
        <scheme val="minor"/>
      </rPr>
      <t xml:space="preserve"> </t>
    </r>
    <r>
      <rPr>
        <sz val="8"/>
        <color theme="1"/>
        <rFont val="Calibri"/>
        <family val="2"/>
        <charset val="186"/>
        <scheme val="minor"/>
      </rPr>
      <t>priėmimo infrastruktūros atnaujinimas ir plėtra</t>
    </r>
  </si>
  <si>
    <t>Pažangos priemonė Nr. 09-003-02-02-07 „Plėtoti užsieniečių integracijos sistemą“</t>
  </si>
  <si>
    <t xml:space="preserve">2026 m. balandžio </t>
  </si>
  <si>
    <t xml:space="preserve">2024 m. rugpjūčio </t>
  </si>
  <si>
    <t xml:space="preserve">2024 m. birželio </t>
  </si>
  <si>
    <t xml:space="preserve">2025 m. birželio </t>
  </si>
  <si>
    <t xml:space="preserve">2027 m. sausis </t>
  </si>
  <si>
    <t xml:space="preserve">2024 m. balandžio </t>
  </si>
  <si>
    <t xml:space="preserve">2025 m. balandžio  </t>
  </si>
  <si>
    <t xml:space="preserve">2025 m. birželio  </t>
  </si>
  <si>
    <t xml:space="preserve">2025 m. rugpjūčio  </t>
  </si>
  <si>
    <t xml:space="preserve">2023 m. rugpjūčio  </t>
  </si>
  <si>
    <t xml:space="preserve">2027 m. rugsėjo </t>
  </si>
  <si>
    <t xml:space="preserve">2025 m. liepos  </t>
  </si>
  <si>
    <t xml:space="preserve">2024 m. kovas 
</t>
  </si>
  <si>
    <t xml:space="preserve">2026 m. kovas </t>
  </si>
  <si>
    <t xml:space="preserve">2024 m. kovas </t>
  </si>
  <si>
    <t>2021-2027 m. PMIF programos 3 konkretus tikslas "Prisidėti prie kovass su neteisėta migracija, stiprinant veiksmingą, saugų ir orumo nežeminantį grąžinimą ir readmisiją, taip pat prisidėti prie veiksmingos pradinės reintegracijos trečiosiose valstybėse ir ją skatinti"</t>
  </si>
  <si>
    <t xml:space="preserve">2023 m. spalis </t>
  </si>
  <si>
    <t xml:space="preserve">2025 m. spalis </t>
  </si>
  <si>
    <t xml:space="preserve">2026 m. vasaris  </t>
  </si>
  <si>
    <t xml:space="preserve">2024 m. vasaris  </t>
  </si>
  <si>
    <t xml:space="preserve">2024 m. vasaris </t>
  </si>
  <si>
    <t xml:space="preserve">2027 m. vasaris </t>
  </si>
  <si>
    <t xml:space="preserve">2024 m. gegužė </t>
  </si>
  <si>
    <t xml:space="preserve">2023 m. lapkritis  </t>
  </si>
  <si>
    <t xml:space="preserve">2024 m. lapkritis </t>
  </si>
  <si>
    <t xml:space="preserve">2023 m. lapkritis </t>
  </si>
  <si>
    <t xml:space="preserve">2028 m. vasaris </t>
  </si>
  <si>
    <t>PMIF 2021-2027 m. veiksmų programos asignavimai (4.2 versija)</t>
  </si>
  <si>
    <t xml:space="preserve">Įprasti veiksmai </t>
  </si>
  <si>
    <t>Šveicarijos-Lietuvos bendradarbiavimo programa</t>
  </si>
  <si>
    <t>Konkretus veiksmas "MS with borders under pressure"
2021-2027 m. PMIF programos 3 priedas</t>
  </si>
  <si>
    <t>Konkretus veiksmas ("Pact and Ukraine")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</si>
</sst>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_-* #,##0_-;\-* #,##0_-;_-* &quot;-&quot;??_-;_-@_-"/>
    <numFmt numFmtId="165" formatCode="0.0000000000%"/>
    <numFmt numFmtId="166" formatCode="_-* #,##0.00\ _€_-;\-* #,##0.00\ _€_-;_-* &quot;-&quot;??\ _€_-;_-@_-"/>
  </numFmts>
  <fonts count="17" x14ac:knownFonts="1">
    <font>
      <sz val="11"/>
      <color theme="1"/>
      <name val="Calibri"/>
      <family val="2"/>
      <charset val="186"/>
      <scheme val="minor"/>
    </font>
    <font>
      <sz val="11"/>
      <color theme="1"/>
      <name val="Calibri"/>
      <family val="2"/>
      <charset val="186"/>
      <scheme val="minor"/>
    </font>
    <font>
      <sz val="8"/>
      <name val="Calibri"/>
      <family val="2"/>
      <charset val="186"/>
      <scheme val="minor"/>
    </font>
    <font>
      <sz val="11"/>
      <color theme="1"/>
      <name val="Arial"/>
      <family val="2"/>
      <charset val="186"/>
    </font>
    <font>
      <b/>
      <sz val="8"/>
      <color rgb="FF000000"/>
      <name val="Calibri"/>
      <family val="2"/>
      <charset val="186"/>
      <scheme val="minor"/>
    </font>
    <font>
      <sz val="8"/>
      <color theme="1"/>
      <name val="Calibri"/>
      <family val="2"/>
      <charset val="186"/>
      <scheme val="minor"/>
    </font>
    <font>
      <sz val="8"/>
      <color rgb="FF000000"/>
      <name val="Calibri"/>
      <family val="2"/>
      <charset val="186"/>
      <scheme val="minor"/>
    </font>
    <font>
      <i/>
      <sz val="8"/>
      <color theme="1"/>
      <name val="Calibri"/>
      <family val="2"/>
      <charset val="186"/>
      <scheme val="minor"/>
    </font>
    <font>
      <i/>
      <sz val="8"/>
      <color rgb="FF000000"/>
      <name val="Calibri"/>
      <family val="2"/>
      <charset val="186"/>
      <scheme val="minor"/>
    </font>
    <font>
      <sz val="8"/>
      <color rgb="FFFF0000"/>
      <name val="Calibri"/>
      <family val="2"/>
      <charset val="186"/>
      <scheme val="minor"/>
    </font>
    <font>
      <b/>
      <sz val="8"/>
      <name val="Calibri"/>
      <family val="2"/>
      <charset val="186"/>
      <scheme val="minor"/>
    </font>
    <font>
      <b/>
      <sz val="8"/>
      <color theme="1"/>
      <name val="Calibri"/>
      <family val="2"/>
      <charset val="186"/>
      <scheme val="minor"/>
    </font>
    <font>
      <sz val="10"/>
      <color theme="1"/>
      <name val="Calibri"/>
      <family val="2"/>
      <charset val="186"/>
      <scheme val="minor"/>
    </font>
    <font>
      <sz val="10"/>
      <color theme="1"/>
      <name val="Times New Roman"/>
      <family val="1"/>
      <charset val="186"/>
    </font>
    <font>
      <strike/>
      <sz val="8"/>
      <name val="Calibri"/>
      <family val="2"/>
      <charset val="186"/>
      <scheme val="minor"/>
    </font>
    <font>
      <strike/>
      <sz val="8"/>
      <color theme="1"/>
      <name val="Calibri"/>
      <family val="2"/>
      <charset val="186"/>
      <scheme val="minor"/>
    </font>
    <font>
      <b/>
      <sz val="11"/>
      <color theme="1"/>
      <name val="Calibri"/>
      <family val="2"/>
      <charset val="186"/>
      <scheme val="minor"/>
    </font>
  </fonts>
  <fills count="12">
    <fill>
      <patternFill patternType="none"/>
    </fill>
    <fill>
      <patternFill patternType="gray125"/>
    </fill>
    <fill>
      <patternFill patternType="solid">
        <fgColor rgb="FFD9E2F3"/>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right/>
      <top style="dashed">
        <color indexed="64"/>
      </top>
      <bottom style="dashed">
        <color indexed="64"/>
      </bottom>
      <diagonal/>
    </border>
  </borders>
  <cellStyleXfs count="4">
    <xf numFmtId="0" fontId="0" fillId="0" borderId="0"/>
    <xf numFmtId="43" fontId="1" fillId="0" borderId="0" applyFont="0" applyFill="0" applyBorder="0" applyAlignment="0" applyProtection="0"/>
    <xf numFmtId="0" fontId="3" fillId="0" borderId="0"/>
    <xf numFmtId="9" fontId="1" fillId="0" borderId="0" applyFont="0" applyFill="0" applyBorder="0" applyAlignment="0" applyProtection="0"/>
  </cellStyleXfs>
  <cellXfs count="163">
    <xf numFmtId="0" fontId="0" fillId="0" borderId="0" xfId="0"/>
    <xf numFmtId="165" fontId="0" fillId="0" borderId="0" xfId="3" applyNumberFormat="1" applyFont="1"/>
    <xf numFmtId="0" fontId="16" fillId="0" borderId="0" xfId="0" applyFont="1"/>
    <xf numFmtId="44" fontId="0" fillId="0" borderId="0" xfId="0" applyNumberFormat="1"/>
    <xf numFmtId="44" fontId="16" fillId="0" borderId="0" xfId="0" applyNumberFormat="1" applyFont="1"/>
    <xf numFmtId="165" fontId="16" fillId="0" borderId="0" xfId="3" applyNumberFormat="1" applyFont="1"/>
    <xf numFmtId="4" fontId="2" fillId="3" borderId="1" xfId="0" applyNumberFormat="1" applyFont="1" applyFill="1" applyBorder="1" applyAlignment="1">
      <alignment horizontal="center" vertical="center" wrapText="1"/>
    </xf>
    <xf numFmtId="4" fontId="2" fillId="5" borderId="1" xfId="1" applyNumberFormat="1"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 fontId="2" fillId="0" borderId="1" xfId="1" applyNumberFormat="1" applyFont="1" applyFill="1" applyBorder="1" applyAlignment="1">
      <alignment horizontal="center" vertical="center" wrapText="1"/>
    </xf>
    <xf numFmtId="4" fontId="2" fillId="0" borderId="15" xfId="1" applyNumberFormat="1" applyFont="1" applyFill="1" applyBorder="1" applyAlignment="1">
      <alignment horizontal="center" vertical="center" wrapText="1"/>
    </xf>
    <xf numFmtId="4" fontId="2" fillId="0" borderId="2" xfId="1" applyNumberFormat="1" applyFont="1" applyFill="1" applyBorder="1" applyAlignment="1">
      <alignment horizontal="center" vertical="center" wrapText="1"/>
    </xf>
    <xf numFmtId="43" fontId="11" fillId="4" borderId="1" xfId="1" applyFont="1" applyFill="1" applyBorder="1" applyAlignment="1">
      <alignment horizontal="center" vertical="center" wrapText="1"/>
    </xf>
    <xf numFmtId="4" fontId="2" fillId="0" borderId="1" xfId="0" applyNumberFormat="1" applyFont="1" applyBorder="1" applyAlignment="1">
      <alignment horizontal="center" vertical="center"/>
    </xf>
    <xf numFmtId="4" fontId="2" fillId="8" borderId="1" xfId="1" applyNumberFormat="1" applyFont="1" applyFill="1" applyBorder="1" applyAlignment="1">
      <alignment horizontal="center" vertical="center" wrapText="1"/>
    </xf>
    <xf numFmtId="4" fontId="2" fillId="0" borderId="1" xfId="1" applyNumberFormat="1" applyFont="1" applyBorder="1" applyAlignment="1">
      <alignment horizontal="center" vertical="center" wrapText="1"/>
    </xf>
    <xf numFmtId="0" fontId="6" fillId="2" borderId="7" xfId="0" applyFont="1" applyFill="1" applyBorder="1" applyAlignment="1">
      <alignment horizontal="center" vertical="center"/>
    </xf>
    <xf numFmtId="0" fontId="6" fillId="10" borderId="9" xfId="0" applyFont="1" applyFill="1" applyBorder="1" applyAlignment="1">
      <alignment horizontal="center" vertical="center" wrapText="1"/>
    </xf>
    <xf numFmtId="0" fontId="6" fillId="2" borderId="0" xfId="0" applyFont="1" applyFill="1" applyAlignment="1">
      <alignment horizontal="center" vertical="center"/>
    </xf>
    <xf numFmtId="0" fontId="6" fillId="2" borderId="1" xfId="0"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43" fontId="6" fillId="2" borderId="1" xfId="1" applyFont="1" applyFill="1" applyBorder="1" applyAlignment="1">
      <alignment horizontal="center" vertical="center" wrapText="1"/>
    </xf>
    <xf numFmtId="43" fontId="6" fillId="10" borderId="2" xfId="1"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2" fillId="6" borderId="1" xfId="2" applyFont="1" applyFill="1" applyBorder="1" applyAlignment="1">
      <alignment horizontal="center" vertical="center" wrapText="1"/>
    </xf>
    <xf numFmtId="0" fontId="2" fillId="7" borderId="1" xfId="2"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0" borderId="1" xfId="0" applyFont="1" applyBorder="1" applyAlignment="1">
      <alignment horizontal="center" vertical="center" wrapText="1"/>
    </xf>
    <xf numFmtId="4" fontId="5" fillId="0" borderId="1" xfId="1" applyNumberFormat="1" applyFont="1" applyBorder="1" applyAlignment="1">
      <alignment horizontal="center" vertical="center" wrapText="1"/>
    </xf>
    <xf numFmtId="4" fontId="5" fillId="0" borderId="1" xfId="1" applyNumberFormat="1" applyFont="1" applyBorder="1" applyAlignment="1">
      <alignment horizontal="center" vertical="center"/>
    </xf>
    <xf numFmtId="43" fontId="5" fillId="0" borderId="1" xfId="1" applyFont="1" applyBorder="1" applyAlignment="1">
      <alignment horizontal="center" vertical="center"/>
    </xf>
    <xf numFmtId="43" fontId="5" fillId="5" borderId="1" xfId="1" applyFont="1" applyFill="1" applyBorder="1" applyAlignment="1">
      <alignment horizontal="center" vertical="center"/>
    </xf>
    <xf numFmtId="43" fontId="5" fillId="10" borderId="1" xfId="1" applyFont="1" applyFill="1" applyBorder="1" applyAlignment="1">
      <alignment horizontal="center" vertical="center"/>
    </xf>
    <xf numFmtId="164" fontId="5" fillId="5" borderId="1" xfId="1" applyNumberFormat="1" applyFont="1" applyFill="1" applyBorder="1" applyAlignment="1">
      <alignment horizontal="center" vertical="center"/>
    </xf>
    <xf numFmtId="43" fontId="11" fillId="4" borderId="1" xfId="0" applyNumberFormat="1" applyFont="1" applyFill="1" applyBorder="1" applyAlignment="1">
      <alignment horizontal="center" vertical="center" wrapText="1"/>
    </xf>
    <xf numFmtId="164" fontId="11" fillId="4" borderId="1" xfId="0" applyNumberFormat="1" applyFont="1" applyFill="1" applyBorder="1" applyAlignment="1">
      <alignment horizontal="center" vertical="center" wrapText="1"/>
    </xf>
    <xf numFmtId="0" fontId="2" fillId="10" borderId="1" xfId="2"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xf>
    <xf numFmtId="164" fontId="5" fillId="7" borderId="1" xfId="0" applyNumberFormat="1" applyFont="1" applyFill="1" applyBorder="1" applyAlignment="1">
      <alignment horizontal="center" vertical="center"/>
    </xf>
    <xf numFmtId="164" fontId="5" fillId="0" borderId="1" xfId="0" applyNumberFormat="1" applyFont="1" applyBorder="1" applyAlignment="1">
      <alignment horizontal="center" vertical="center"/>
    </xf>
    <xf numFmtId="4" fontId="5" fillId="0" borderId="1" xfId="1" applyNumberFormat="1" applyFont="1" applyFill="1" applyBorder="1" applyAlignment="1">
      <alignment horizontal="center" vertical="center" wrapText="1"/>
    </xf>
    <xf numFmtId="43" fontId="5" fillId="0" borderId="1" xfId="1" applyFont="1" applyFill="1" applyBorder="1" applyAlignment="1">
      <alignment horizontal="center" vertical="center" wrapText="1"/>
    </xf>
    <xf numFmtId="0" fontId="2" fillId="0" borderId="1" xfId="2" applyFont="1" applyBorder="1" applyAlignment="1">
      <alignment horizontal="center" vertical="center" wrapText="1"/>
    </xf>
    <xf numFmtId="4" fontId="2" fillId="0" borderId="1" xfId="2" applyNumberFormat="1" applyFont="1" applyBorder="1" applyAlignment="1">
      <alignment horizontal="center" vertical="center" wrapText="1"/>
    </xf>
    <xf numFmtId="43" fontId="2" fillId="0" borderId="1" xfId="1"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2" fillId="0" borderId="15" xfId="2" applyFont="1" applyBorder="1" applyAlignment="1">
      <alignment horizontal="center" vertical="center" wrapText="1"/>
    </xf>
    <xf numFmtId="4" fontId="5" fillId="0" borderId="15" xfId="1" applyNumberFormat="1" applyFont="1" applyFill="1" applyBorder="1" applyAlignment="1">
      <alignment horizontal="center" vertical="center" wrapText="1"/>
    </xf>
    <xf numFmtId="0" fontId="2" fillId="0" borderId="2" xfId="2" applyFont="1" applyBorder="1" applyAlignment="1">
      <alignment horizontal="center" vertical="center" wrapText="1"/>
    </xf>
    <xf numFmtId="4" fontId="5" fillId="0" borderId="2" xfId="1" applyNumberFormat="1" applyFont="1" applyFill="1" applyBorder="1" applyAlignment="1">
      <alignment horizontal="center" vertical="center" wrapText="1"/>
    </xf>
    <xf numFmtId="164" fontId="9" fillId="7" borderId="1" xfId="0" applyNumberFormat="1" applyFont="1" applyFill="1" applyBorder="1" applyAlignment="1">
      <alignment horizontal="center" vertical="center"/>
    </xf>
    <xf numFmtId="164" fontId="2" fillId="0" borderId="1" xfId="0" applyNumberFormat="1" applyFont="1" applyBorder="1" applyAlignment="1">
      <alignment horizontal="center" vertical="center"/>
    </xf>
    <xf numFmtId="164" fontId="2" fillId="7" borderId="1" xfId="0" applyNumberFormat="1" applyFont="1" applyFill="1" applyBorder="1" applyAlignment="1">
      <alignment horizontal="center" vertical="center"/>
    </xf>
    <xf numFmtId="164" fontId="9" fillId="5" borderId="1" xfId="0" applyNumberFormat="1" applyFont="1" applyFill="1" applyBorder="1" applyAlignment="1">
      <alignment horizontal="center" vertical="center"/>
    </xf>
    <xf numFmtId="43" fontId="5" fillId="0" borderId="15" xfId="1" applyFont="1" applyFill="1" applyBorder="1" applyAlignment="1">
      <alignment horizontal="center" vertical="center" wrapText="1"/>
    </xf>
    <xf numFmtId="0" fontId="2" fillId="10" borderId="15" xfId="2" applyFont="1" applyFill="1" applyBorder="1" applyAlignment="1">
      <alignment horizontal="center" vertical="center" wrapText="1"/>
    </xf>
    <xf numFmtId="164" fontId="5" fillId="8" borderId="1" xfId="0" applyNumberFormat="1" applyFont="1" applyFill="1" applyBorder="1" applyAlignment="1">
      <alignment horizontal="center" vertical="center"/>
    </xf>
    <xf numFmtId="164" fontId="9" fillId="0" borderId="1" xfId="0" applyNumberFormat="1" applyFont="1" applyBorder="1" applyAlignment="1">
      <alignment horizontal="center" vertical="center"/>
    </xf>
    <xf numFmtId="164" fontId="5" fillId="5" borderId="13" xfId="0" applyNumberFormat="1" applyFont="1" applyFill="1" applyBorder="1" applyAlignment="1">
      <alignment horizontal="center" vertical="center"/>
    </xf>
    <xf numFmtId="0" fontId="5" fillId="0" borderId="14" xfId="0" applyFont="1" applyBorder="1" applyAlignment="1">
      <alignment horizontal="center" vertical="center" wrapText="1"/>
    </xf>
    <xf numFmtId="43" fontId="5" fillId="0" borderId="2" xfId="1" applyFont="1" applyFill="1" applyBorder="1" applyAlignment="1">
      <alignment horizontal="center" vertical="center" wrapText="1"/>
    </xf>
    <xf numFmtId="0" fontId="2" fillId="10" borderId="2" xfId="2" applyFont="1" applyFill="1" applyBorder="1" applyAlignment="1">
      <alignment horizontal="center" vertical="center" wrapText="1"/>
    </xf>
    <xf numFmtId="0" fontId="5" fillId="0" borderId="1" xfId="1" applyNumberFormat="1" applyFont="1" applyFill="1" applyBorder="1" applyAlignment="1">
      <alignment horizontal="center" vertical="center" wrapText="1"/>
    </xf>
    <xf numFmtId="164" fontId="11" fillId="4" borderId="11" xfId="0" applyNumberFormat="1" applyFont="1" applyFill="1" applyBorder="1" applyAlignment="1">
      <alignment horizontal="center" vertical="center"/>
    </xf>
    <xf numFmtId="164" fontId="11" fillId="4" borderId="12" xfId="0" applyNumberFormat="1" applyFont="1" applyFill="1" applyBorder="1" applyAlignment="1">
      <alignment horizontal="center" vertical="center" wrapText="1"/>
    </xf>
    <xf numFmtId="164" fontId="11" fillId="4" borderId="13" xfId="0" applyNumberFormat="1" applyFont="1" applyFill="1" applyBorder="1" applyAlignment="1">
      <alignment horizontal="center" vertical="center" wrapText="1"/>
    </xf>
    <xf numFmtId="43" fontId="11" fillId="4" borderId="13" xfId="1" applyFont="1" applyFill="1" applyBorder="1" applyAlignment="1">
      <alignment horizontal="center" vertical="center" wrapText="1"/>
    </xf>
    <xf numFmtId="43" fontId="5" fillId="0" borderId="1" xfId="1" applyFont="1" applyFill="1" applyBorder="1" applyAlignment="1">
      <alignment horizontal="center" vertical="center"/>
    </xf>
    <xf numFmtId="0" fontId="5" fillId="0" borderId="1" xfId="0" applyFont="1" applyBorder="1" applyAlignment="1">
      <alignment horizontal="center" vertical="center"/>
    </xf>
    <xf numFmtId="0" fontId="5" fillId="10" borderId="1" xfId="0" applyFont="1" applyFill="1" applyBorder="1" applyAlignment="1">
      <alignment horizontal="center" vertical="center"/>
    </xf>
    <xf numFmtId="0" fontId="6" fillId="0" borderId="1" xfId="0" applyFont="1" applyBorder="1" applyAlignment="1">
      <alignment horizontal="center" vertical="center" wrapText="1"/>
    </xf>
    <xf numFmtId="43" fontId="6" fillId="0" borderId="1" xfId="1" applyFont="1" applyFill="1" applyBorder="1" applyAlignment="1">
      <alignment horizontal="center" vertical="center" wrapText="1"/>
    </xf>
    <xf numFmtId="164" fontId="5" fillId="6" borderId="1" xfId="0" applyNumberFormat="1" applyFont="1" applyFill="1" applyBorder="1" applyAlignment="1">
      <alignment horizontal="center" vertical="center"/>
    </xf>
    <xf numFmtId="0" fontId="6" fillId="0" borderId="15" xfId="0" applyFont="1" applyBorder="1" applyAlignment="1">
      <alignment horizontal="center" vertical="center" wrapText="1"/>
    </xf>
    <xf numFmtId="164" fontId="5" fillId="0" borderId="1" xfId="1" applyNumberFormat="1" applyFont="1" applyFill="1" applyBorder="1" applyAlignment="1">
      <alignment horizontal="center" vertical="center"/>
    </xf>
    <xf numFmtId="164" fontId="9" fillId="6" borderId="1" xfId="0" applyNumberFormat="1" applyFont="1" applyFill="1" applyBorder="1" applyAlignment="1">
      <alignment horizontal="center" vertical="center"/>
    </xf>
    <xf numFmtId="164" fontId="2" fillId="8" borderId="1" xfId="0" applyNumberFormat="1" applyFont="1" applyFill="1" applyBorder="1" applyAlignment="1">
      <alignment horizontal="center" vertical="center"/>
    </xf>
    <xf numFmtId="4" fontId="5" fillId="0" borderId="1" xfId="0" applyNumberFormat="1" applyFont="1" applyBorder="1" applyAlignment="1">
      <alignment horizontal="center" vertical="center" wrapText="1"/>
    </xf>
    <xf numFmtId="43" fontId="6" fillId="0" borderId="2" xfId="1" applyFont="1" applyFill="1" applyBorder="1" applyAlignment="1">
      <alignment horizontal="center" vertical="center" wrapText="1"/>
    </xf>
    <xf numFmtId="164" fontId="11" fillId="4" borderId="12" xfId="0" applyNumberFormat="1" applyFont="1" applyFill="1" applyBorder="1" applyAlignment="1">
      <alignment horizontal="center" vertical="center"/>
    </xf>
    <xf numFmtId="164" fontId="11" fillId="4" borderId="13" xfId="0" applyNumberFormat="1" applyFont="1" applyFill="1" applyBorder="1" applyAlignment="1">
      <alignment horizontal="center" vertical="center"/>
    </xf>
    <xf numFmtId="3" fontId="10" fillId="4" borderId="1" xfId="0" applyNumberFormat="1" applyFont="1" applyFill="1" applyBorder="1" applyAlignment="1">
      <alignment horizontal="center" vertical="center" wrapText="1"/>
    </xf>
    <xf numFmtId="43" fontId="5" fillId="0" borderId="1" xfId="1" applyFont="1" applyBorder="1" applyAlignment="1">
      <alignment horizontal="center" vertical="center" wrapText="1"/>
    </xf>
    <xf numFmtId="43" fontId="5" fillId="10" borderId="1" xfId="1" applyFont="1" applyFill="1" applyBorder="1" applyAlignment="1">
      <alignment horizontal="center" vertical="center" wrapText="1"/>
    </xf>
    <xf numFmtId="0" fontId="2" fillId="8" borderId="1" xfId="2" applyFont="1" applyFill="1" applyBorder="1" applyAlignment="1">
      <alignment horizontal="center" vertical="center" wrapText="1"/>
    </xf>
    <xf numFmtId="164" fontId="2" fillId="6" borderId="1" xfId="0" applyNumberFormat="1" applyFont="1" applyFill="1" applyBorder="1" applyAlignment="1">
      <alignment horizontal="center" vertical="center"/>
    </xf>
    <xf numFmtId="43" fontId="5" fillId="8" borderId="1" xfId="1" applyFont="1" applyFill="1" applyBorder="1" applyAlignment="1">
      <alignment horizontal="center" vertical="center" wrapText="1"/>
    </xf>
    <xf numFmtId="0" fontId="11" fillId="5" borderId="1" xfId="0" applyFont="1" applyFill="1" applyBorder="1" applyAlignment="1">
      <alignment horizontal="center" vertical="center"/>
    </xf>
    <xf numFmtId="0" fontId="5" fillId="0" borderId="0" xfId="0" applyFont="1" applyAlignment="1">
      <alignment horizontal="center" vertical="center"/>
    </xf>
    <xf numFmtId="0" fontId="4" fillId="2" borderId="6" xfId="0" applyFont="1" applyFill="1" applyBorder="1" applyAlignment="1">
      <alignment horizontal="center" vertical="center"/>
    </xf>
    <xf numFmtId="4" fontId="6" fillId="2" borderId="7" xfId="0" applyNumberFormat="1" applyFont="1" applyFill="1" applyBorder="1" applyAlignment="1">
      <alignment horizontal="center" vertical="center"/>
    </xf>
    <xf numFmtId="43" fontId="6" fillId="2" borderId="8" xfId="1" applyFont="1" applyFill="1" applyBorder="1" applyAlignment="1">
      <alignment horizontal="center" vertical="center"/>
    </xf>
    <xf numFmtId="43" fontId="6" fillId="10" borderId="0" xfId="1" applyFont="1" applyFill="1" applyBorder="1" applyAlignment="1">
      <alignment horizontal="center" vertical="center"/>
    </xf>
    <xf numFmtId="0" fontId="9" fillId="2" borderId="9" xfId="0" applyFont="1" applyFill="1" applyBorder="1" applyAlignment="1">
      <alignment horizontal="center" vertical="center"/>
    </xf>
    <xf numFmtId="4" fontId="6" fillId="2" borderId="0" xfId="0" applyNumberFormat="1" applyFont="1" applyFill="1" applyAlignment="1">
      <alignment horizontal="center" vertical="center"/>
    </xf>
    <xf numFmtId="43" fontId="6" fillId="2" borderId="10" xfId="1" applyFont="1" applyFill="1" applyBorder="1" applyAlignment="1">
      <alignment horizontal="center" vertical="center"/>
    </xf>
    <xf numFmtId="0" fontId="12" fillId="5" borderId="1" xfId="0" applyFont="1" applyFill="1" applyBorder="1" applyAlignment="1">
      <alignment horizontal="center" vertical="center"/>
    </xf>
    <xf numFmtId="0" fontId="14" fillId="0" borderId="1" xfId="2" applyFont="1" applyBorder="1" applyAlignment="1">
      <alignment horizontal="center" vertical="center" wrapText="1"/>
    </xf>
    <xf numFmtId="0" fontId="5" fillId="7" borderId="0" xfId="0" applyFont="1" applyFill="1" applyAlignment="1">
      <alignment horizontal="center" vertical="center"/>
    </xf>
    <xf numFmtId="0" fontId="5" fillId="11" borderId="17" xfId="0" applyFont="1" applyFill="1" applyBorder="1" applyAlignment="1">
      <alignment horizontal="center" vertical="center" wrapText="1"/>
    </xf>
    <xf numFmtId="0" fontId="5" fillId="11" borderId="16" xfId="0"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1" borderId="19" xfId="0" applyFont="1" applyFill="1" applyBorder="1" applyAlignment="1">
      <alignment horizontal="center" vertical="center" wrapText="1"/>
    </xf>
    <xf numFmtId="43" fontId="5" fillId="11" borderId="17" xfId="1" applyFont="1" applyFill="1" applyBorder="1" applyAlignment="1">
      <alignment horizontal="center" vertical="center" wrapText="1"/>
    </xf>
    <xf numFmtId="43" fontId="5" fillId="11" borderId="16" xfId="1" applyFont="1" applyFill="1" applyBorder="1" applyAlignment="1">
      <alignment horizontal="center" vertical="center" wrapText="1"/>
    </xf>
    <xf numFmtId="0" fontId="2" fillId="11" borderId="16" xfId="2" applyFont="1" applyFill="1" applyBorder="1" applyAlignment="1">
      <alignment horizontal="center" vertical="center" wrapText="1"/>
    </xf>
    <xf numFmtId="4" fontId="2" fillId="11" borderId="16" xfId="1" applyNumberFormat="1" applyFont="1" applyFill="1" applyBorder="1" applyAlignment="1">
      <alignment horizontal="center" vertical="center" wrapText="1"/>
    </xf>
    <xf numFmtId="0" fontId="2" fillId="9" borderId="16" xfId="2" applyFont="1" applyFill="1" applyBorder="1" applyAlignment="1">
      <alignment horizontal="center" vertical="center" wrapText="1"/>
    </xf>
    <xf numFmtId="43" fontId="13" fillId="5" borderId="1" xfId="1" applyFont="1" applyFill="1" applyBorder="1" applyAlignment="1">
      <alignment horizontal="center" vertical="center" wrapText="1"/>
    </xf>
    <xf numFmtId="166" fontId="5" fillId="0" borderId="2" xfId="0" applyNumberFormat="1" applyFont="1" applyBorder="1" applyAlignment="1">
      <alignment horizontal="center" vertical="center" wrapText="1"/>
    </xf>
    <xf numFmtId="0" fontId="11" fillId="4" borderId="11" xfId="0" applyFont="1" applyFill="1" applyBorder="1" applyAlignment="1">
      <alignment horizontal="center" vertical="center"/>
    </xf>
    <xf numFmtId="4" fontId="11" fillId="5" borderId="1" xfId="1" applyNumberFormat="1" applyFont="1" applyFill="1" applyBorder="1" applyAlignment="1">
      <alignment horizontal="center" vertical="center"/>
    </xf>
    <xf numFmtId="43" fontId="11" fillId="5" borderId="1" xfId="1" applyFont="1" applyFill="1" applyBorder="1" applyAlignment="1">
      <alignment horizontal="center" vertical="center"/>
    </xf>
    <xf numFmtId="43" fontId="5" fillId="0" borderId="0" xfId="1" applyFont="1" applyAlignment="1">
      <alignment horizontal="center" vertical="center"/>
    </xf>
    <xf numFmtId="4" fontId="2" fillId="0" borderId="0" xfId="0" applyNumberFormat="1" applyFont="1" applyAlignment="1">
      <alignment horizontal="center" vertical="center"/>
    </xf>
    <xf numFmtId="0" fontId="5" fillId="5" borderId="1" xfId="0" applyFont="1" applyFill="1" applyBorder="1" applyAlignment="1">
      <alignment horizontal="center" vertical="center"/>
    </xf>
    <xf numFmtId="4" fontId="5" fillId="0" borderId="0" xfId="1" applyNumberFormat="1" applyFont="1" applyAlignment="1">
      <alignment horizontal="center" vertical="center"/>
    </xf>
    <xf numFmtId="0" fontId="16" fillId="0" borderId="0" xfId="0" applyFont="1" applyAlignment="1">
      <alignment vertical="center"/>
    </xf>
    <xf numFmtId="0" fontId="16" fillId="0" borderId="0" xfId="0" applyFont="1" applyAlignment="1">
      <alignment horizontal="center" vertical="center"/>
    </xf>
    <xf numFmtId="0" fontId="5" fillId="0" borderId="1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 xfId="0" applyFont="1" applyBorder="1" applyAlignment="1">
      <alignment horizontal="center"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 fontId="2" fillId="0" borderId="1" xfId="1" applyNumberFormat="1" applyFont="1" applyFill="1" applyBorder="1" applyAlignment="1">
      <alignment horizontal="center" vertical="center" wrapText="1"/>
    </xf>
    <xf numFmtId="43" fontId="6" fillId="0" borderId="1" xfId="1" applyFont="1" applyFill="1" applyBorder="1" applyAlignment="1">
      <alignment horizontal="center" vertical="center" wrapText="1"/>
    </xf>
    <xf numFmtId="0" fontId="6" fillId="0" borderId="15" xfId="0" applyFont="1" applyBorder="1" applyAlignment="1">
      <alignment horizontal="center" vertical="center" wrapText="1"/>
    </xf>
    <xf numFmtId="0" fontId="6" fillId="0" borderId="2" xfId="0" applyFont="1" applyBorder="1" applyAlignment="1">
      <alignment horizontal="center" vertical="center" wrapText="1"/>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11" fillId="4" borderId="1" xfId="0" applyFont="1" applyFill="1" applyBorder="1" applyAlignment="1">
      <alignment horizontal="center" vertical="center" wrapText="1"/>
    </xf>
    <xf numFmtId="43" fontId="5" fillId="0" borderId="15" xfId="1" applyFont="1" applyFill="1" applyBorder="1" applyAlignment="1">
      <alignment horizontal="center" vertical="center" wrapText="1"/>
    </xf>
    <xf numFmtId="43" fontId="5" fillId="0" borderId="14" xfId="1" applyFont="1" applyFill="1" applyBorder="1" applyAlignment="1">
      <alignment horizontal="center" vertical="center" wrapText="1"/>
    </xf>
    <xf numFmtId="43" fontId="5" fillId="0" borderId="1" xfId="1" applyFont="1" applyBorder="1" applyAlignment="1">
      <alignment horizontal="center" vertical="center" wrapText="1"/>
    </xf>
    <xf numFmtId="164" fontId="5" fillId="7" borderId="1" xfId="0" applyNumberFormat="1" applyFont="1" applyFill="1" applyBorder="1" applyAlignment="1">
      <alignment horizontal="center" vertical="center"/>
    </xf>
    <xf numFmtId="4" fontId="5" fillId="0" borderId="1" xfId="1" applyNumberFormat="1" applyFont="1" applyBorder="1" applyAlignment="1">
      <alignment horizontal="center" vertical="center" wrapText="1"/>
    </xf>
    <xf numFmtId="164" fontId="5" fillId="0" borderId="1" xfId="0" applyNumberFormat="1" applyFont="1" applyBorder="1" applyAlignment="1">
      <alignment horizontal="center" vertical="center"/>
    </xf>
    <xf numFmtId="0" fontId="6" fillId="6" borderId="3" xfId="0" applyFont="1" applyFill="1" applyBorder="1" applyAlignment="1">
      <alignment horizontal="center" vertical="center"/>
    </xf>
    <xf numFmtId="0" fontId="6" fillId="6" borderId="4" xfId="0" applyFont="1" applyFill="1" applyBorder="1" applyAlignment="1">
      <alignment horizontal="center" vertical="center"/>
    </xf>
    <xf numFmtId="0" fontId="6" fillId="6" borderId="5" xfId="0" applyFont="1" applyFill="1" applyBorder="1" applyAlignment="1">
      <alignment horizontal="center" vertical="center"/>
    </xf>
    <xf numFmtId="0" fontId="5" fillId="6" borderId="11" xfId="0" applyFont="1" applyFill="1" applyBorder="1" applyAlignment="1">
      <alignment horizontal="center" vertical="center"/>
    </xf>
    <xf numFmtId="0" fontId="5" fillId="6" borderId="12" xfId="0" applyFont="1" applyFill="1" applyBorder="1" applyAlignment="1">
      <alignment horizontal="center" vertical="center"/>
    </xf>
    <xf numFmtId="0" fontId="5" fillId="6" borderId="13" xfId="0" applyFont="1" applyFill="1" applyBorder="1" applyAlignment="1">
      <alignment horizontal="center" vertical="center"/>
    </xf>
    <xf numFmtId="0" fontId="5" fillId="7" borderId="11" xfId="0" applyFont="1" applyFill="1" applyBorder="1" applyAlignment="1">
      <alignment horizontal="center" vertical="center"/>
    </xf>
    <xf numFmtId="0" fontId="5" fillId="7" borderId="12" xfId="0" applyFont="1" applyFill="1" applyBorder="1" applyAlignment="1">
      <alignment horizontal="center" vertical="center"/>
    </xf>
    <xf numFmtId="0" fontId="5" fillId="7" borderId="13" xfId="0" applyFont="1" applyFill="1" applyBorder="1" applyAlignment="1">
      <alignment horizontal="center" vertical="center"/>
    </xf>
    <xf numFmtId="0" fontId="2" fillId="0" borderId="15" xfId="2" applyFont="1" applyBorder="1" applyAlignment="1">
      <alignment horizontal="center" vertical="center" wrapText="1"/>
    </xf>
    <xf numFmtId="0" fontId="2" fillId="0" borderId="2" xfId="2" applyFont="1" applyBorder="1" applyAlignment="1">
      <alignment horizontal="center" vertical="center" wrapText="1"/>
    </xf>
    <xf numFmtId="0" fontId="5" fillId="0" borderId="15" xfId="2" applyFont="1" applyBorder="1" applyAlignment="1">
      <alignment horizontal="center" vertical="center" wrapText="1"/>
    </xf>
    <xf numFmtId="0" fontId="5" fillId="0" borderId="2" xfId="2" applyFont="1" applyBorder="1" applyAlignment="1">
      <alignment horizontal="center" vertical="center" wrapText="1"/>
    </xf>
    <xf numFmtId="4" fontId="5" fillId="0" borderId="15" xfId="1" applyNumberFormat="1" applyFont="1" applyFill="1" applyBorder="1" applyAlignment="1">
      <alignment horizontal="center" vertical="center" wrapText="1"/>
    </xf>
    <xf numFmtId="4" fontId="5" fillId="0" borderId="2" xfId="1" applyNumberFormat="1" applyFont="1" applyFill="1" applyBorder="1" applyAlignment="1">
      <alignment horizontal="center" vertical="center" wrapText="1"/>
    </xf>
    <xf numFmtId="43" fontId="2" fillId="0" borderId="15" xfId="1" applyFont="1" applyFill="1" applyBorder="1" applyAlignment="1">
      <alignment horizontal="center" vertical="center" wrapText="1"/>
    </xf>
    <xf numFmtId="43" fontId="2" fillId="0" borderId="2" xfId="1" applyFont="1" applyFill="1" applyBorder="1" applyAlignment="1">
      <alignment horizontal="center" vertical="center" wrapText="1"/>
    </xf>
  </cellXfs>
  <cellStyles count="4">
    <cellStyle name="Comma" xfId="1" builtinId="3"/>
    <cellStyle name="Įprastas 2" xfId="2" xr:uid="{E8EA601E-686F-4CCE-88C0-01EC60EB0311}"/>
    <cellStyle name="Normal" xfId="0" builtinId="0"/>
    <cellStyle name="Percent" xfId="3" builtinId="5"/>
  </cellStyles>
  <dxfs count="6">
    <dxf>
      <numFmt numFmtId="34" formatCode="_-* #,##0.00\ &quot;€&quot;_-;\-* #,##0.00\ &quot;€&quot;_-;_-* &quot;-&quot;??\ &quot;€&quot;_-;_-@_-"/>
    </dxf>
    <dxf>
      <numFmt numFmtId="34" formatCode="_-* #,##0.00\ &quot;€&quot;_-;\-* #,##0.00\ &quot;€&quot;_-;_-* &quot;-&quot;??\ &quot;€&quot;_-;_-@_-"/>
    </dxf>
    <dxf>
      <numFmt numFmtId="34" formatCode="_-* #,##0.00\ &quot;€&quot;_-;\-* #,##0.00\ &quot;€&quot;_-;_-* &quot;-&quot;??\ &quot;€&quot;_-;_-@_-"/>
    </dxf>
    <dxf>
      <numFmt numFmtId="34" formatCode="_-* #,##0.00\ &quot;€&quot;_-;\-* #,##0.00\ &quot;€&quot;_-;_-* &quot;-&quot;??\ &quot;€&quot;_-;_-@_-"/>
    </dxf>
    <dxf>
      <numFmt numFmtId="34" formatCode="_-* #,##0.00\ &quot;€&quot;_-;\-* #,##0.00\ &quot;€&quot;_-;_-* &quot;-&quot;??\ &quot;€&quot;_-;_-@_-"/>
    </dxf>
    <dxf>
      <font>
        <b/>
      </font>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18C537C-01A8-4501-BA8A-F6D21EB5776E}" name="Table1" displayName="Table1" ref="A2:I20" totalsRowShown="0" headerRowDxfId="5">
  <autoFilter ref="A2:I20" xr:uid="{F18C537C-01A8-4501-BA8A-F6D21EB5776E}"/>
  <tableColumns count="9">
    <tableColumn id="1" xr3:uid="{D9B647CF-232E-46E3-887F-88C3617DD80A}" name="Konkretus tikslas KT"/>
    <tableColumn id="2" xr3:uid="{7F01F26B-136E-4ED7-AF18-4CFA678166D3}" name="Veiksmų rūšis"/>
    <tableColumn id="3" xr3:uid="{F16CFAE3-7D8E-426C-8996-A36166A278E3}" name="Sąjungos paramos (visos arba viešosios) apskaičiavimo pagrindas"/>
    <tableColumn id="4" xr3:uid="{6371803E-AF1E-44E5-BBDC-6871D5B8233E}" name="Sąjungos įnašas a" dataDxfId="4"/>
    <tableColumn id="5" xr3:uid="{E9F12608-3A30-4169-BA83-2136829C5BE3}" name="Nacionalinis įnašas - b=c+d" dataDxfId="3"/>
    <tableColumn id="6" xr3:uid="{5D1F3CD5-5050-40D8-9F34-026C26800A1D}" name="Viešasis" dataDxfId="2"/>
    <tableColumn id="7" xr3:uid="{AD4EA881-350C-4A06-A433-9D00DBC53681}" name="Privatusis" dataDxfId="1"/>
    <tableColumn id="8" xr3:uid="{9234C6E1-25E1-45A8-8AF7-941900D5E5BD}" name="Iš viso e=a+b" dataDxfId="0"/>
    <tableColumn id="9" xr3:uid="{5D8BB5EA-D93A-4C58-AF17-D6A840E43BEC}" name="Bendro finansavimo norma f=a/e" dataCellStyle="Percent"/>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AA18B-BD35-422C-ADA0-4E65839C5C4B}">
  <dimension ref="A1:BC63"/>
  <sheetViews>
    <sheetView tabSelected="1" topLeftCell="A40" zoomScale="85" zoomScaleNormal="85" workbookViewId="0">
      <selection activeCell="J49" sqref="J1:J1048576"/>
    </sheetView>
  </sheetViews>
  <sheetFormatPr defaultColWidth="9.109375" defaultRowHeight="14.4" x14ac:dyDescent="0.3"/>
  <cols>
    <col min="1" max="1" width="35" style="92" customWidth="1"/>
    <col min="2" max="2" width="5.5546875" style="92" customWidth="1"/>
    <col min="3" max="3" width="25.44140625" style="92" customWidth="1"/>
    <col min="4" max="4" width="7.5546875" style="92" customWidth="1"/>
    <col min="5" max="6" width="8.88671875" style="92"/>
    <col min="7" max="7" width="16" style="120" bestFit="1" customWidth="1"/>
    <col min="8" max="8" width="14.44140625" style="120" bestFit="1" customWidth="1"/>
    <col min="9" max="9" width="12.44140625" style="117" customWidth="1"/>
    <col min="10" max="10" width="20.44140625" style="117" customWidth="1"/>
    <col min="11" max="11" width="36.5546875" style="92" customWidth="1"/>
    <col min="12" max="12" width="13.5546875" style="92" customWidth="1"/>
    <col min="13" max="13" width="13.44140625" style="118" customWidth="1"/>
    <col min="14" max="15" width="9.5546875" style="92" customWidth="1"/>
    <col min="16" max="16" width="18.44140625" style="92" customWidth="1"/>
    <col min="17" max="17" width="13.5546875" style="92" customWidth="1"/>
    <col min="18" max="19" width="13.44140625" style="92" customWidth="1"/>
    <col min="20" max="20" width="12.5546875" style="92" customWidth="1"/>
    <col min="21" max="23" width="9.44140625" style="92" bestFit="1" customWidth="1"/>
    <col min="24" max="24" width="11.44140625" style="92" customWidth="1"/>
    <col min="25" max="25" width="9.44140625" style="92" bestFit="1" customWidth="1"/>
    <col min="26" max="26" width="13.5546875" style="92" customWidth="1"/>
    <col min="27" max="27" width="17.44140625" style="92" customWidth="1"/>
    <col min="28" max="31" width="9.44140625" style="92" bestFit="1" customWidth="1"/>
    <col min="32" max="32" width="9.5546875" style="92" customWidth="1"/>
    <col min="33" max="33" width="10" style="92" bestFit="1" customWidth="1"/>
    <col min="34" max="36" width="9.44140625" style="92" bestFit="1" customWidth="1"/>
    <col min="37" max="37" width="11.5546875" style="92" customWidth="1"/>
    <col min="38" max="40" width="9.44140625" style="92" bestFit="1" customWidth="1"/>
    <col min="41" max="41" width="14.5546875" style="92" customWidth="1"/>
    <col min="42" max="47" width="9.44140625" style="92" bestFit="1" customWidth="1"/>
    <col min="48" max="48" width="8.88671875" style="92"/>
    <col min="49" max="50" width="9.44140625" style="92" bestFit="1" customWidth="1"/>
    <col min="51" max="51" width="12.5546875" style="92" customWidth="1"/>
    <col min="52" max="52" width="9.44140625" style="92" bestFit="1" customWidth="1"/>
    <col min="53" max="53" width="11.44140625" style="92" customWidth="1"/>
    <col min="54" max="55" width="9.44140625" style="92" bestFit="1" customWidth="1"/>
  </cols>
  <sheetData>
    <row r="1" spans="1:55" x14ac:dyDescent="0.3">
      <c r="A1" s="93" t="s">
        <v>244</v>
      </c>
      <c r="B1" s="16"/>
      <c r="C1" s="16"/>
      <c r="D1" s="16"/>
      <c r="E1" s="16"/>
      <c r="F1" s="16"/>
      <c r="G1" s="94"/>
      <c r="H1" s="94"/>
      <c r="I1" s="95"/>
      <c r="J1" s="96"/>
      <c r="K1" s="133" t="s">
        <v>0</v>
      </c>
      <c r="L1" s="134"/>
      <c r="M1" s="134"/>
      <c r="N1" s="134"/>
      <c r="O1" s="135"/>
      <c r="P1" s="17" t="s">
        <v>110</v>
      </c>
      <c r="Q1" s="146" t="s">
        <v>214</v>
      </c>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8"/>
    </row>
    <row r="2" spans="1:55" x14ac:dyDescent="0.3">
      <c r="A2" s="97"/>
      <c r="B2" s="18"/>
      <c r="C2" s="18"/>
      <c r="D2" s="18"/>
      <c r="E2" s="18"/>
      <c r="F2" s="18"/>
      <c r="G2" s="98"/>
      <c r="H2" s="98"/>
      <c r="I2" s="99"/>
      <c r="J2" s="96"/>
      <c r="K2" s="136" t="s">
        <v>1</v>
      </c>
      <c r="L2" s="137"/>
      <c r="M2" s="137"/>
      <c r="N2" s="137"/>
      <c r="O2" s="138"/>
      <c r="P2" s="17"/>
      <c r="Q2" s="149" t="s">
        <v>2</v>
      </c>
      <c r="R2" s="150"/>
      <c r="S2" s="150"/>
      <c r="T2" s="150"/>
      <c r="U2" s="150"/>
      <c r="V2" s="150"/>
      <c r="W2" s="150"/>
      <c r="X2" s="150"/>
      <c r="Y2" s="150"/>
      <c r="Z2" s="150"/>
      <c r="AA2" s="150"/>
      <c r="AB2" s="150"/>
      <c r="AC2" s="150"/>
      <c r="AD2" s="151"/>
      <c r="AE2" s="152" t="s">
        <v>3</v>
      </c>
      <c r="AF2" s="153"/>
      <c r="AG2" s="153"/>
      <c r="AH2" s="153"/>
      <c r="AI2" s="153"/>
      <c r="AJ2" s="153"/>
      <c r="AK2" s="153"/>
      <c r="AL2" s="153"/>
      <c r="AM2" s="153"/>
      <c r="AN2" s="153"/>
      <c r="AO2" s="153"/>
      <c r="AP2" s="153"/>
      <c r="AQ2" s="153"/>
      <c r="AR2" s="154"/>
      <c r="AS2" s="149" t="s">
        <v>4</v>
      </c>
      <c r="AT2" s="150"/>
      <c r="AU2" s="150"/>
      <c r="AV2" s="150"/>
      <c r="AW2" s="150"/>
      <c r="AX2" s="150"/>
      <c r="AY2" s="150"/>
      <c r="AZ2" s="151"/>
      <c r="BA2" s="152" t="s">
        <v>5</v>
      </c>
      <c r="BB2" s="153"/>
      <c r="BC2" s="154"/>
    </row>
    <row r="3" spans="1:55" ht="153" x14ac:dyDescent="0.3">
      <c r="A3" s="19" t="s">
        <v>6</v>
      </c>
      <c r="B3" s="19" t="s">
        <v>7</v>
      </c>
      <c r="C3" s="19" t="s">
        <v>8</v>
      </c>
      <c r="D3" s="19" t="s">
        <v>9</v>
      </c>
      <c r="E3" s="19" t="s">
        <v>10</v>
      </c>
      <c r="F3" s="19" t="s">
        <v>11</v>
      </c>
      <c r="G3" s="20" t="s">
        <v>12</v>
      </c>
      <c r="H3" s="20" t="s">
        <v>13</v>
      </c>
      <c r="I3" s="21" t="s">
        <v>14</v>
      </c>
      <c r="J3" s="22" t="s">
        <v>97</v>
      </c>
      <c r="K3" s="23" t="s">
        <v>15</v>
      </c>
      <c r="L3" s="23" t="s">
        <v>16</v>
      </c>
      <c r="M3" s="6" t="s">
        <v>17</v>
      </c>
      <c r="N3" s="23" t="s">
        <v>18</v>
      </c>
      <c r="O3" s="23" t="s">
        <v>19</v>
      </c>
      <c r="P3" s="24"/>
      <c r="Q3" s="25" t="s">
        <v>191</v>
      </c>
      <c r="R3" s="25" t="s">
        <v>192</v>
      </c>
      <c r="S3" s="25" t="s">
        <v>193</v>
      </c>
      <c r="T3" s="25" t="s">
        <v>194</v>
      </c>
      <c r="U3" s="25" t="s">
        <v>195</v>
      </c>
      <c r="V3" s="25" t="s">
        <v>189</v>
      </c>
      <c r="W3" s="25" t="s">
        <v>20</v>
      </c>
      <c r="X3" s="25" t="s">
        <v>197</v>
      </c>
      <c r="Y3" s="25" t="s">
        <v>205</v>
      </c>
      <c r="Z3" s="25" t="s">
        <v>206</v>
      </c>
      <c r="AA3" s="25" t="s">
        <v>207</v>
      </c>
      <c r="AB3" s="25" t="s">
        <v>208</v>
      </c>
      <c r="AC3" s="25" t="s">
        <v>209</v>
      </c>
      <c r="AD3" s="25" t="s">
        <v>210</v>
      </c>
      <c r="AE3" s="26" t="s">
        <v>211</v>
      </c>
      <c r="AF3" s="26" t="s">
        <v>198</v>
      </c>
      <c r="AG3" s="26" t="s">
        <v>199</v>
      </c>
      <c r="AH3" s="26" t="s">
        <v>200</v>
      </c>
      <c r="AI3" s="26" t="s">
        <v>201</v>
      </c>
      <c r="AJ3" s="26" t="s">
        <v>202</v>
      </c>
      <c r="AK3" s="26" t="s">
        <v>196</v>
      </c>
      <c r="AL3" s="26" t="s">
        <v>203</v>
      </c>
      <c r="AM3" s="26" t="s">
        <v>212</v>
      </c>
      <c r="AN3" s="26" t="s">
        <v>204</v>
      </c>
      <c r="AO3" s="26" t="s">
        <v>213</v>
      </c>
      <c r="AP3" s="26" t="s">
        <v>215</v>
      </c>
      <c r="AQ3" s="26" t="s">
        <v>216</v>
      </c>
      <c r="AR3" s="26" t="s">
        <v>217</v>
      </c>
      <c r="AS3" s="25" t="s">
        <v>218</v>
      </c>
      <c r="AT3" s="25" t="s">
        <v>219</v>
      </c>
      <c r="AU3" s="25" t="s">
        <v>190</v>
      </c>
      <c r="AV3" s="25" t="s">
        <v>221</v>
      </c>
      <c r="AW3" s="25" t="s">
        <v>220</v>
      </c>
      <c r="AX3" s="25" t="s">
        <v>222</v>
      </c>
      <c r="AY3" s="25" t="s">
        <v>223</v>
      </c>
      <c r="AZ3" s="25" t="s">
        <v>224</v>
      </c>
      <c r="BA3" s="27" t="s">
        <v>225</v>
      </c>
      <c r="BB3" s="27" t="s">
        <v>226</v>
      </c>
      <c r="BC3" s="27" t="s">
        <v>227</v>
      </c>
    </row>
    <row r="4" spans="1:55" ht="51" x14ac:dyDescent="0.3">
      <c r="A4" s="28" t="s">
        <v>21</v>
      </c>
      <c r="B4" s="28" t="s">
        <v>22</v>
      </c>
      <c r="C4" s="28" t="s">
        <v>23</v>
      </c>
      <c r="D4" s="28" t="s">
        <v>23</v>
      </c>
      <c r="E4" s="28" t="s">
        <v>24</v>
      </c>
      <c r="F4" s="28" t="s">
        <v>23</v>
      </c>
      <c r="G4" s="29" t="s">
        <v>23</v>
      </c>
      <c r="H4" s="30"/>
      <c r="I4" s="31"/>
      <c r="J4" s="31"/>
      <c r="K4" s="32"/>
      <c r="L4" s="32"/>
      <c r="M4" s="7"/>
      <c r="N4" s="32"/>
      <c r="O4" s="32"/>
      <c r="P4" s="33"/>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row>
    <row r="5" spans="1:55" ht="40.799999999999997" x14ac:dyDescent="0.3">
      <c r="A5" s="28" t="s">
        <v>25</v>
      </c>
      <c r="B5" s="28" t="s">
        <v>26</v>
      </c>
      <c r="C5" s="28" t="s">
        <v>23</v>
      </c>
      <c r="D5" s="28" t="s">
        <v>23</v>
      </c>
      <c r="E5" s="28" t="s">
        <v>24</v>
      </c>
      <c r="F5" s="28" t="s">
        <v>23</v>
      </c>
      <c r="G5" s="28"/>
      <c r="H5" s="28"/>
      <c r="I5" s="86"/>
      <c r="J5" s="28"/>
      <c r="K5" s="32"/>
      <c r="L5" s="32"/>
      <c r="M5" s="7"/>
      <c r="N5" s="32"/>
      <c r="O5" s="32"/>
      <c r="P5" s="33"/>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row>
    <row r="6" spans="1:55" ht="30.6" x14ac:dyDescent="0.3">
      <c r="A6" s="28" t="s">
        <v>159</v>
      </c>
      <c r="B6" s="28" t="s">
        <v>26</v>
      </c>
      <c r="C6" s="28" t="s">
        <v>23</v>
      </c>
      <c r="D6" s="28" t="s">
        <v>23</v>
      </c>
      <c r="E6" s="28" t="s">
        <v>24</v>
      </c>
      <c r="F6" s="28" t="s">
        <v>23</v>
      </c>
      <c r="G6" s="28"/>
      <c r="H6" s="28"/>
      <c r="I6" s="86"/>
      <c r="J6" s="28"/>
      <c r="K6" s="32"/>
      <c r="L6" s="32"/>
      <c r="M6" s="7"/>
      <c r="N6" s="32"/>
      <c r="O6" s="32"/>
      <c r="P6" s="33"/>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row>
    <row r="7" spans="1:55" s="2" customFormat="1" ht="20.25" customHeight="1" x14ac:dyDescent="0.3">
      <c r="A7" s="139" t="s">
        <v>27</v>
      </c>
      <c r="B7" s="139"/>
      <c r="C7" s="139"/>
      <c r="D7" s="139"/>
      <c r="E7" s="139"/>
      <c r="F7" s="139"/>
      <c r="G7" s="8">
        <f>SUM(G8:G26)</f>
        <v>26337085.536000002</v>
      </c>
      <c r="H7" s="8">
        <f>SUM(H8:H26)</f>
        <v>7104658.2340000002</v>
      </c>
      <c r="I7" s="12">
        <f>G7/(G7+H7)</f>
        <v>0.7875512029856091</v>
      </c>
      <c r="J7" s="8"/>
      <c r="K7" s="8"/>
      <c r="L7" s="8"/>
      <c r="M7" s="8">
        <f>SUM(M8:M26)</f>
        <v>33441743.77</v>
      </c>
      <c r="N7" s="35"/>
      <c r="O7" s="35"/>
      <c r="P7" s="35"/>
      <c r="Q7" s="36">
        <f t="shared" ref="Q7:AE7" si="0">SUM(Q9:Q20)</f>
        <v>0</v>
      </c>
      <c r="R7" s="36">
        <f t="shared" si="0"/>
        <v>0</v>
      </c>
      <c r="S7" s="36"/>
      <c r="T7" s="36">
        <f t="shared" si="0"/>
        <v>0</v>
      </c>
      <c r="U7" s="36">
        <f t="shared" si="0"/>
        <v>0</v>
      </c>
      <c r="V7" s="36">
        <f t="shared" si="0"/>
        <v>0</v>
      </c>
      <c r="W7" s="36">
        <f t="shared" si="0"/>
        <v>0</v>
      </c>
      <c r="X7" s="36">
        <f t="shared" si="0"/>
        <v>0</v>
      </c>
      <c r="Y7" s="36">
        <f t="shared" si="0"/>
        <v>0</v>
      </c>
      <c r="Z7" s="36">
        <f t="shared" si="0"/>
        <v>0</v>
      </c>
      <c r="AA7" s="36">
        <f t="shared" si="0"/>
        <v>0</v>
      </c>
      <c r="AB7" s="36">
        <f t="shared" si="0"/>
        <v>0</v>
      </c>
      <c r="AC7" s="36">
        <f t="shared" si="0"/>
        <v>0</v>
      </c>
      <c r="AD7" s="36">
        <f t="shared" si="0"/>
        <v>0</v>
      </c>
      <c r="AE7" s="36">
        <f t="shared" si="0"/>
        <v>0</v>
      </c>
      <c r="AF7" s="36">
        <v>15</v>
      </c>
      <c r="AG7" s="36">
        <f>SUM(AG8:AG26)</f>
        <v>20930</v>
      </c>
      <c r="AH7" s="36">
        <f>SUM(AH8:AH26)</f>
        <v>7569</v>
      </c>
      <c r="AI7" s="36">
        <f>SUM(AI8:AI26)</f>
        <v>1665</v>
      </c>
      <c r="AJ7" s="36">
        <f>SUM(AJ8:AJ26)</f>
        <v>770</v>
      </c>
      <c r="AK7" s="36">
        <f t="shared" ref="AK7:AR7" si="1">SUM(AK9:AK26)</f>
        <v>3</v>
      </c>
      <c r="AL7" s="36">
        <f t="shared" si="1"/>
        <v>0</v>
      </c>
      <c r="AM7" s="36">
        <f t="shared" si="1"/>
        <v>0</v>
      </c>
      <c r="AN7" s="36">
        <f t="shared" si="1"/>
        <v>15</v>
      </c>
      <c r="AO7" s="36">
        <f t="shared" si="1"/>
        <v>2205</v>
      </c>
      <c r="AP7" s="36">
        <f t="shared" si="1"/>
        <v>12551</v>
      </c>
      <c r="AQ7" s="36">
        <f t="shared" si="1"/>
        <v>0</v>
      </c>
      <c r="AR7" s="36">
        <f t="shared" si="1"/>
        <v>0</v>
      </c>
      <c r="AS7" s="36"/>
      <c r="AT7" s="36"/>
      <c r="AU7" s="36"/>
      <c r="AV7" s="36"/>
      <c r="AW7" s="36"/>
      <c r="AX7" s="36"/>
      <c r="AY7" s="36"/>
      <c r="AZ7" s="36"/>
      <c r="BA7" s="36"/>
      <c r="BB7" s="36"/>
      <c r="BC7" s="36"/>
    </row>
    <row r="8" spans="1:55" ht="30.6" x14ac:dyDescent="0.3">
      <c r="A8" s="48" t="s">
        <v>158</v>
      </c>
      <c r="B8" s="48" t="s">
        <v>29</v>
      </c>
      <c r="C8" s="48" t="s">
        <v>42</v>
      </c>
      <c r="D8" s="48" t="s">
        <v>31</v>
      </c>
      <c r="E8" s="48" t="s">
        <v>24</v>
      </c>
      <c r="F8" s="48" t="s">
        <v>33</v>
      </c>
      <c r="G8" s="9">
        <f>M8*I8</f>
        <v>1350000</v>
      </c>
      <c r="H8" s="9">
        <f>M8*0.1</f>
        <v>150000</v>
      </c>
      <c r="I8" s="64">
        <v>0.9</v>
      </c>
      <c r="J8" s="48" t="s">
        <v>276</v>
      </c>
      <c r="K8" s="48" t="s">
        <v>119</v>
      </c>
      <c r="L8" s="48" t="s">
        <v>50</v>
      </c>
      <c r="M8" s="9">
        <v>1500000</v>
      </c>
      <c r="N8" s="48" t="s">
        <v>161</v>
      </c>
      <c r="O8" s="48" t="s">
        <v>36</v>
      </c>
      <c r="P8" s="37" t="s">
        <v>120</v>
      </c>
      <c r="Q8" s="38"/>
      <c r="R8" s="39"/>
      <c r="S8" s="39"/>
      <c r="T8" s="39"/>
      <c r="U8" s="39"/>
      <c r="V8" s="39"/>
      <c r="W8" s="39"/>
      <c r="X8" s="39"/>
      <c r="Y8" s="39"/>
      <c r="Z8" s="39"/>
      <c r="AA8" s="39"/>
      <c r="AB8" s="39"/>
      <c r="AC8" s="39"/>
      <c r="AD8" s="39"/>
      <c r="AE8" s="40"/>
      <c r="AF8" s="40"/>
      <c r="AG8" s="41">
        <v>1500</v>
      </c>
      <c r="AH8" s="41">
        <v>500</v>
      </c>
      <c r="AI8" s="40"/>
      <c r="AJ8" s="41">
        <v>500</v>
      </c>
      <c r="AK8" s="40"/>
      <c r="AL8" s="40"/>
      <c r="AM8" s="40"/>
      <c r="AN8" s="40"/>
      <c r="AO8" s="40"/>
      <c r="AP8" s="41">
        <f>1500*0.4</f>
        <v>600</v>
      </c>
      <c r="AQ8" s="40"/>
      <c r="AR8" s="40"/>
      <c r="AS8" s="100"/>
      <c r="AT8" s="100"/>
      <c r="AU8" s="100"/>
      <c r="AV8" s="100"/>
      <c r="AW8" s="100"/>
      <c r="AX8" s="100"/>
      <c r="AY8" s="100"/>
      <c r="AZ8" s="100"/>
      <c r="BA8" s="100"/>
      <c r="BB8" s="100"/>
      <c r="BC8" s="100"/>
    </row>
    <row r="9" spans="1:55" ht="30.6" x14ac:dyDescent="0.3">
      <c r="A9" s="28" t="s">
        <v>28</v>
      </c>
      <c r="B9" s="28" t="s">
        <v>29</v>
      </c>
      <c r="C9" s="28" t="s">
        <v>30</v>
      </c>
      <c r="D9" s="28" t="s">
        <v>31</v>
      </c>
      <c r="E9" s="28" t="s">
        <v>32</v>
      </c>
      <c r="F9" s="28" t="s">
        <v>33</v>
      </c>
      <c r="G9" s="42">
        <f>M9*0.75</f>
        <v>2325000</v>
      </c>
      <c r="H9" s="42">
        <f>M9*0.25</f>
        <v>775000</v>
      </c>
      <c r="I9" s="43">
        <f>G9/(G9+H9)</f>
        <v>0.75</v>
      </c>
      <c r="J9" s="43" t="s">
        <v>273</v>
      </c>
      <c r="K9" s="28" t="s">
        <v>34</v>
      </c>
      <c r="L9" s="28" t="s">
        <v>35</v>
      </c>
      <c r="M9" s="9">
        <v>3100000</v>
      </c>
      <c r="N9" s="44" t="s">
        <v>247</v>
      </c>
      <c r="O9" s="44" t="s">
        <v>36</v>
      </c>
      <c r="P9" s="37" t="s">
        <v>142</v>
      </c>
      <c r="Q9" s="38"/>
      <c r="R9" s="39"/>
      <c r="S9" s="39"/>
      <c r="T9" s="39"/>
      <c r="U9" s="39"/>
      <c r="V9" s="39"/>
      <c r="W9" s="39"/>
      <c r="X9" s="39"/>
      <c r="Y9" s="39"/>
      <c r="Z9" s="39"/>
      <c r="AA9" s="39"/>
      <c r="AB9" s="39"/>
      <c r="AC9" s="39"/>
      <c r="AD9" s="39"/>
      <c r="AE9" s="40"/>
      <c r="AF9" s="41">
        <v>15</v>
      </c>
      <c r="AG9" s="40"/>
      <c r="AH9" s="40"/>
      <c r="AI9" s="40"/>
      <c r="AJ9" s="40"/>
      <c r="AK9" s="40"/>
      <c r="AL9" s="40"/>
      <c r="AM9" s="40"/>
      <c r="AN9" s="40"/>
      <c r="AO9" s="40"/>
      <c r="AP9" s="40"/>
      <c r="AQ9" s="40"/>
      <c r="AR9" s="40"/>
      <c r="AS9" s="39"/>
      <c r="AT9" s="39"/>
      <c r="AU9" s="39"/>
      <c r="AV9" s="39"/>
      <c r="AW9" s="39"/>
      <c r="AX9" s="39"/>
      <c r="AY9" s="39"/>
      <c r="AZ9" s="39"/>
      <c r="BA9" s="39"/>
      <c r="BB9" s="39"/>
      <c r="BC9" s="39"/>
    </row>
    <row r="10" spans="1:55" ht="40.799999999999997" x14ac:dyDescent="0.3">
      <c r="A10" s="125" t="s">
        <v>37</v>
      </c>
      <c r="B10" s="47" t="s">
        <v>29</v>
      </c>
      <c r="C10" s="47" t="s">
        <v>38</v>
      </c>
      <c r="D10" s="28" t="s">
        <v>39</v>
      </c>
      <c r="E10" s="28" t="s">
        <v>24</v>
      </c>
      <c r="F10" s="28" t="s">
        <v>33</v>
      </c>
      <c r="G10" s="9">
        <v>262500</v>
      </c>
      <c r="H10" s="9">
        <v>87500</v>
      </c>
      <c r="I10" s="43">
        <f>G10/(G10+H10)</f>
        <v>0.75</v>
      </c>
      <c r="J10" s="43" t="s">
        <v>132</v>
      </c>
      <c r="K10" s="44" t="s">
        <v>40</v>
      </c>
      <c r="L10" s="28" t="s">
        <v>41</v>
      </c>
      <c r="M10" s="9">
        <v>350000</v>
      </c>
      <c r="N10" s="44" t="s">
        <v>257</v>
      </c>
      <c r="O10" s="44" t="s">
        <v>36</v>
      </c>
      <c r="P10" s="37" t="s">
        <v>142</v>
      </c>
      <c r="Q10" s="39"/>
      <c r="R10" s="39"/>
      <c r="S10" s="39"/>
      <c r="T10" s="39"/>
      <c r="U10" s="39"/>
      <c r="V10" s="39"/>
      <c r="W10" s="39"/>
      <c r="X10" s="39"/>
      <c r="Y10" s="39"/>
      <c r="Z10" s="39"/>
      <c r="AA10" s="39"/>
      <c r="AB10" s="39"/>
      <c r="AC10" s="39"/>
      <c r="AD10" s="39"/>
      <c r="AE10" s="40"/>
      <c r="AF10" s="40"/>
      <c r="AG10" s="40"/>
      <c r="AH10" s="40"/>
      <c r="AI10" s="40"/>
      <c r="AJ10" s="40"/>
      <c r="AK10" s="40"/>
      <c r="AL10" s="40"/>
      <c r="AM10" s="40"/>
      <c r="AN10" s="40"/>
      <c r="AO10" s="40"/>
      <c r="AP10" s="40"/>
      <c r="AQ10" s="40"/>
      <c r="AR10" s="40"/>
      <c r="AS10" s="39"/>
      <c r="AT10" s="39"/>
      <c r="AU10" s="39"/>
      <c r="AV10" s="39"/>
      <c r="AW10" s="39"/>
      <c r="AX10" s="39"/>
      <c r="AY10" s="39"/>
      <c r="AZ10" s="39"/>
      <c r="BA10" s="39"/>
      <c r="BB10" s="39"/>
      <c r="BC10" s="39"/>
    </row>
    <row r="11" spans="1:55" ht="40.799999999999997" x14ac:dyDescent="0.3">
      <c r="A11" s="124"/>
      <c r="B11" s="44" t="s">
        <v>29</v>
      </c>
      <c r="C11" s="9" t="s">
        <v>47</v>
      </c>
      <c r="D11" s="44" t="s">
        <v>39</v>
      </c>
      <c r="E11" s="44" t="s">
        <v>24</v>
      </c>
      <c r="F11" s="44" t="s">
        <v>33</v>
      </c>
      <c r="G11" s="45">
        <f>400000*I11</f>
        <v>360000</v>
      </c>
      <c r="H11" s="9">
        <f>400000*0.1</f>
        <v>40000</v>
      </c>
      <c r="I11" s="46">
        <v>0.9</v>
      </c>
      <c r="J11" s="48" t="s">
        <v>276</v>
      </c>
      <c r="K11" s="44" t="s">
        <v>150</v>
      </c>
      <c r="L11" s="44" t="s">
        <v>41</v>
      </c>
      <c r="M11" s="9">
        <v>400000</v>
      </c>
      <c r="N11" s="9" t="s">
        <v>162</v>
      </c>
      <c r="O11" s="44" t="s">
        <v>36</v>
      </c>
      <c r="P11" s="37" t="s">
        <v>142</v>
      </c>
      <c r="Q11" s="39"/>
      <c r="R11" s="39"/>
      <c r="S11" s="39"/>
      <c r="T11" s="39"/>
      <c r="U11" s="39"/>
      <c r="V11" s="39"/>
      <c r="W11" s="39"/>
      <c r="X11" s="39"/>
      <c r="Y11" s="39"/>
      <c r="Z11" s="39"/>
      <c r="AA11" s="39"/>
      <c r="AB11" s="39"/>
      <c r="AC11" s="39"/>
      <c r="AD11" s="39"/>
      <c r="AE11" s="40"/>
      <c r="AF11" s="40"/>
      <c r="AG11" s="40"/>
      <c r="AH11" s="40"/>
      <c r="AI11" s="40"/>
      <c r="AJ11" s="40"/>
      <c r="AK11" s="40"/>
      <c r="AL11" s="40"/>
      <c r="AM11" s="40"/>
      <c r="AN11" s="40"/>
      <c r="AO11" s="40"/>
      <c r="AP11" s="40"/>
      <c r="AQ11" s="40"/>
      <c r="AR11" s="40"/>
      <c r="AS11" s="39"/>
      <c r="AT11" s="39"/>
      <c r="AU11" s="39"/>
      <c r="AV11" s="39"/>
      <c r="AW11" s="39"/>
      <c r="AX11" s="39"/>
      <c r="AY11" s="39"/>
      <c r="AZ11" s="39"/>
      <c r="BA11" s="39"/>
      <c r="BB11" s="39"/>
      <c r="BC11" s="39"/>
    </row>
    <row r="12" spans="1:55" ht="51" x14ac:dyDescent="0.3">
      <c r="A12" s="125" t="s">
        <v>128</v>
      </c>
      <c r="B12" s="28" t="s">
        <v>29</v>
      </c>
      <c r="C12" s="92" t="s">
        <v>45</v>
      </c>
      <c r="D12" s="28" t="s">
        <v>31</v>
      </c>
      <c r="E12" s="28" t="s">
        <v>24</v>
      </c>
      <c r="F12" s="28" t="s">
        <v>33</v>
      </c>
      <c r="G12" s="9">
        <f>500000*0.75</f>
        <v>375000</v>
      </c>
      <c r="H12" s="9">
        <f>500000*0.25</f>
        <v>125000</v>
      </c>
      <c r="I12" s="43">
        <v>0.75</v>
      </c>
      <c r="J12" s="43" t="s">
        <v>132</v>
      </c>
      <c r="K12" s="44" t="s">
        <v>43</v>
      </c>
      <c r="L12" s="28" t="s">
        <v>44</v>
      </c>
      <c r="M12" s="9">
        <v>500000</v>
      </c>
      <c r="N12" s="44" t="s">
        <v>248</v>
      </c>
      <c r="O12" s="44" t="s">
        <v>36</v>
      </c>
      <c r="P12" s="37" t="s">
        <v>120</v>
      </c>
      <c r="Q12" s="39"/>
      <c r="R12" s="39"/>
      <c r="S12" s="39"/>
      <c r="T12" s="39"/>
      <c r="U12" s="39"/>
      <c r="V12" s="39"/>
      <c r="W12" s="39"/>
      <c r="X12" s="39"/>
      <c r="Y12" s="39"/>
      <c r="Z12" s="39"/>
      <c r="AA12" s="39"/>
      <c r="AB12" s="39"/>
      <c r="AC12" s="39"/>
      <c r="AD12" s="39"/>
      <c r="AE12" s="40"/>
      <c r="AF12" s="40"/>
      <c r="AG12" s="40"/>
      <c r="AH12" s="40"/>
      <c r="AI12" s="41">
        <v>15</v>
      </c>
      <c r="AJ12" s="40"/>
      <c r="AK12" s="40"/>
      <c r="AL12" s="40"/>
      <c r="AM12" s="40"/>
      <c r="AN12" s="40"/>
      <c r="AO12" s="40"/>
      <c r="AP12" s="40"/>
      <c r="AQ12" s="40"/>
      <c r="AR12" s="40"/>
      <c r="AS12" s="39"/>
      <c r="AT12" s="39"/>
      <c r="AU12" s="39"/>
      <c r="AV12" s="39"/>
      <c r="AW12" s="39"/>
      <c r="AX12" s="39"/>
      <c r="AY12" s="39"/>
      <c r="AZ12" s="39"/>
      <c r="BA12" s="39"/>
      <c r="BB12" s="39"/>
      <c r="BC12" s="39"/>
    </row>
    <row r="13" spans="1:55" ht="30.6" x14ac:dyDescent="0.3">
      <c r="A13" s="124"/>
      <c r="B13" s="44" t="s">
        <v>29</v>
      </c>
      <c r="C13" s="9" t="s">
        <v>45</v>
      </c>
      <c r="D13" s="44" t="s">
        <v>31</v>
      </c>
      <c r="E13" s="44" t="s">
        <v>24</v>
      </c>
      <c r="F13" s="44" t="s">
        <v>33</v>
      </c>
      <c r="G13" s="44">
        <f>300000+0.25-111584.81</f>
        <v>188415.44</v>
      </c>
      <c r="H13" s="44">
        <f>100000+0.08+111584.81</f>
        <v>211584.89</v>
      </c>
      <c r="I13" s="46">
        <f>G13/(G13+H13)</f>
        <v>0.47103821139347557</v>
      </c>
      <c r="J13" s="46" t="s">
        <v>132</v>
      </c>
      <c r="K13" s="44" t="s">
        <v>127</v>
      </c>
      <c r="L13" s="44" t="s">
        <v>46</v>
      </c>
      <c r="M13" s="44">
        <v>400000.33</v>
      </c>
      <c r="N13" s="9" t="s">
        <v>249</v>
      </c>
      <c r="O13" s="44" t="s">
        <v>36</v>
      </c>
      <c r="P13" s="37" t="s">
        <v>120</v>
      </c>
      <c r="Q13" s="39"/>
      <c r="R13" s="39"/>
      <c r="S13" s="39"/>
      <c r="T13" s="39"/>
      <c r="U13" s="39"/>
      <c r="V13" s="39"/>
      <c r="W13" s="39"/>
      <c r="X13" s="39"/>
      <c r="Y13" s="39"/>
      <c r="Z13" s="39"/>
      <c r="AA13" s="39"/>
      <c r="AB13" s="39"/>
      <c r="AC13" s="39"/>
      <c r="AD13" s="39"/>
      <c r="AE13" s="40"/>
      <c r="AF13" s="40"/>
      <c r="AG13" s="40"/>
      <c r="AH13" s="40"/>
      <c r="AI13" s="41">
        <v>150</v>
      </c>
      <c r="AJ13" s="40"/>
      <c r="AK13" s="40"/>
      <c r="AL13" s="40"/>
      <c r="AM13" s="40"/>
      <c r="AN13" s="40"/>
      <c r="AO13" s="40"/>
      <c r="AP13" s="40"/>
      <c r="AQ13" s="40"/>
      <c r="AR13" s="40"/>
      <c r="AS13" s="39"/>
      <c r="AT13" s="39"/>
      <c r="AU13" s="39"/>
      <c r="AV13" s="39"/>
      <c r="AW13" s="39"/>
      <c r="AX13" s="39"/>
      <c r="AY13" s="39"/>
      <c r="AZ13" s="39"/>
      <c r="BA13" s="39"/>
      <c r="BB13" s="39"/>
      <c r="BC13" s="39"/>
    </row>
    <row r="14" spans="1:55" ht="81.599999999999994" x14ac:dyDescent="0.3">
      <c r="A14" s="125" t="s">
        <v>48</v>
      </c>
      <c r="B14" s="47" t="s">
        <v>39</v>
      </c>
      <c r="C14" s="28" t="s">
        <v>103</v>
      </c>
      <c r="D14" s="28" t="s">
        <v>31</v>
      </c>
      <c r="E14" s="28" t="s">
        <v>24</v>
      </c>
      <c r="F14" s="28" t="s">
        <v>33</v>
      </c>
      <c r="G14" s="42">
        <v>209250</v>
      </c>
      <c r="H14" s="42">
        <v>490750</v>
      </c>
      <c r="I14" s="43">
        <f>G14/(G14+H14)</f>
        <v>0.29892857142857143</v>
      </c>
      <c r="J14" s="43" t="s">
        <v>132</v>
      </c>
      <c r="K14" s="44" t="s">
        <v>49</v>
      </c>
      <c r="L14" s="28" t="s">
        <v>50</v>
      </c>
      <c r="M14" s="9">
        <v>700000</v>
      </c>
      <c r="N14" s="44" t="s">
        <v>268</v>
      </c>
      <c r="O14" s="44" t="s">
        <v>36</v>
      </c>
      <c r="P14" s="37" t="s">
        <v>123</v>
      </c>
      <c r="Q14" s="39"/>
      <c r="R14" s="39"/>
      <c r="S14" s="39"/>
      <c r="T14" s="39"/>
      <c r="U14" s="39"/>
      <c r="V14" s="39"/>
      <c r="W14" s="39"/>
      <c r="X14" s="39"/>
      <c r="Y14" s="39"/>
      <c r="Z14" s="39"/>
      <c r="AA14" s="39"/>
      <c r="AB14" s="39"/>
      <c r="AC14" s="39"/>
      <c r="AD14" s="39"/>
      <c r="AE14" s="143"/>
      <c r="AF14" s="143"/>
      <c r="AG14" s="143"/>
      <c r="AH14" s="143"/>
      <c r="AI14" s="143"/>
      <c r="AJ14" s="143"/>
      <c r="AK14" s="145">
        <v>3</v>
      </c>
      <c r="AL14" s="143"/>
      <c r="AM14" s="143"/>
      <c r="AN14" s="143"/>
      <c r="AO14" s="143"/>
      <c r="AP14" s="143"/>
      <c r="AQ14" s="143"/>
      <c r="AR14" s="143"/>
      <c r="AS14" s="39"/>
      <c r="AT14" s="39"/>
      <c r="AU14" s="39"/>
      <c r="AV14" s="39"/>
      <c r="AW14" s="39"/>
      <c r="AX14" s="39"/>
      <c r="AY14" s="39"/>
      <c r="AZ14" s="39"/>
      <c r="BA14" s="39"/>
      <c r="BB14" s="39"/>
      <c r="BC14" s="39"/>
    </row>
    <row r="15" spans="1:55" ht="81.599999999999994" x14ac:dyDescent="0.3">
      <c r="A15" s="124"/>
      <c r="B15" s="47" t="s">
        <v>39</v>
      </c>
      <c r="C15" s="28" t="s">
        <v>103</v>
      </c>
      <c r="D15" s="28" t="s">
        <v>31</v>
      </c>
      <c r="E15" s="28" t="s">
        <v>24</v>
      </c>
      <c r="F15" s="28" t="s">
        <v>33</v>
      </c>
      <c r="G15" s="42">
        <f>M15*I15</f>
        <v>675000</v>
      </c>
      <c r="H15" s="42">
        <f>M15*0.1</f>
        <v>75000</v>
      </c>
      <c r="I15" s="43">
        <v>0.9</v>
      </c>
      <c r="J15" s="48" t="s">
        <v>276</v>
      </c>
      <c r="K15" s="44" t="s">
        <v>49</v>
      </c>
      <c r="L15" s="28" t="s">
        <v>50</v>
      </c>
      <c r="M15" s="9">
        <v>750000</v>
      </c>
      <c r="N15" s="44" t="s">
        <v>108</v>
      </c>
      <c r="O15" s="44" t="s">
        <v>36</v>
      </c>
      <c r="P15" s="37" t="s">
        <v>122</v>
      </c>
      <c r="Q15" s="39"/>
      <c r="R15" s="39"/>
      <c r="S15" s="39"/>
      <c r="T15" s="39"/>
      <c r="U15" s="39"/>
      <c r="V15" s="39"/>
      <c r="W15" s="39"/>
      <c r="X15" s="39"/>
      <c r="Y15" s="39"/>
      <c r="Z15" s="39"/>
      <c r="AA15" s="39"/>
      <c r="AB15" s="39"/>
      <c r="AC15" s="39"/>
      <c r="AD15" s="39"/>
      <c r="AE15" s="143"/>
      <c r="AF15" s="143"/>
      <c r="AG15" s="143"/>
      <c r="AH15" s="143"/>
      <c r="AI15" s="143"/>
      <c r="AJ15" s="143"/>
      <c r="AK15" s="145"/>
      <c r="AL15" s="143"/>
      <c r="AM15" s="143"/>
      <c r="AN15" s="143"/>
      <c r="AO15" s="143"/>
      <c r="AP15" s="143"/>
      <c r="AQ15" s="143"/>
      <c r="AR15" s="143"/>
      <c r="AS15" s="39"/>
      <c r="AT15" s="39"/>
      <c r="AU15" s="39"/>
      <c r="AV15" s="39"/>
      <c r="AW15" s="39"/>
      <c r="AX15" s="39"/>
      <c r="AY15" s="39"/>
      <c r="AZ15" s="39"/>
      <c r="BA15" s="39"/>
      <c r="BB15" s="39"/>
      <c r="BC15" s="39"/>
    </row>
    <row r="16" spans="1:55" ht="65.400000000000006" customHeight="1" x14ac:dyDescent="0.3">
      <c r="A16" s="49" t="s">
        <v>241</v>
      </c>
      <c r="B16" s="49" t="s">
        <v>29</v>
      </c>
      <c r="C16" s="28" t="s">
        <v>47</v>
      </c>
      <c r="D16" s="44" t="s">
        <v>39</v>
      </c>
      <c r="E16" s="44" t="s">
        <v>24</v>
      </c>
      <c r="F16" s="44" t="s">
        <v>33</v>
      </c>
      <c r="G16" s="44">
        <f>300000*I16</f>
        <v>225000</v>
      </c>
      <c r="H16" s="9">
        <f>300000*0.25</f>
        <v>75000</v>
      </c>
      <c r="I16" s="46">
        <v>0.75</v>
      </c>
      <c r="J16" s="46" t="s">
        <v>132</v>
      </c>
      <c r="K16" s="101" t="s">
        <v>242</v>
      </c>
      <c r="L16" s="44" t="s">
        <v>41</v>
      </c>
      <c r="M16" s="9">
        <v>300000</v>
      </c>
      <c r="N16" s="9" t="s">
        <v>161</v>
      </c>
      <c r="O16" s="44" t="s">
        <v>36</v>
      </c>
      <c r="P16" s="37" t="s">
        <v>170</v>
      </c>
      <c r="Q16" s="39"/>
      <c r="R16" s="39"/>
      <c r="S16" s="39"/>
      <c r="T16" s="39"/>
      <c r="U16" s="39"/>
      <c r="V16" s="39"/>
      <c r="W16" s="39"/>
      <c r="X16" s="39"/>
      <c r="Y16" s="39"/>
      <c r="Z16" s="39"/>
      <c r="AA16" s="39"/>
      <c r="AB16" s="39"/>
      <c r="AC16" s="39"/>
      <c r="AD16" s="39"/>
      <c r="AE16" s="40"/>
      <c r="AF16" s="40"/>
      <c r="AG16" s="40"/>
      <c r="AH16" s="40"/>
      <c r="AI16" s="40"/>
      <c r="AJ16" s="40"/>
      <c r="AK16" s="40"/>
      <c r="AL16" s="40"/>
      <c r="AM16" s="40"/>
      <c r="AN16" s="40"/>
      <c r="AO16" s="40"/>
      <c r="AP16" s="40"/>
      <c r="AQ16" s="40"/>
      <c r="AR16" s="40"/>
      <c r="AS16" s="39"/>
      <c r="AT16" s="39"/>
      <c r="AU16" s="39"/>
      <c r="AV16" s="39"/>
      <c r="AW16" s="39"/>
      <c r="AX16" s="39"/>
      <c r="AY16" s="39"/>
      <c r="AZ16" s="39"/>
      <c r="BA16" s="39"/>
      <c r="BB16" s="39"/>
      <c r="BC16" s="39"/>
    </row>
    <row r="17" spans="1:55" ht="40.799999999999997" x14ac:dyDescent="0.3">
      <c r="A17" s="28" t="s">
        <v>51</v>
      </c>
      <c r="B17" s="28" t="s">
        <v>29</v>
      </c>
      <c r="C17" s="28" t="s">
        <v>45</v>
      </c>
      <c r="D17" s="28" t="s">
        <v>31</v>
      </c>
      <c r="E17" s="28" t="s">
        <v>24</v>
      </c>
      <c r="F17" s="28" t="s">
        <v>33</v>
      </c>
      <c r="G17" s="42">
        <v>3750000</v>
      </c>
      <c r="H17" s="42">
        <v>1250000</v>
      </c>
      <c r="I17" s="43">
        <f>G17/(G17+H17)</f>
        <v>0.75</v>
      </c>
      <c r="J17" s="43" t="s">
        <v>132</v>
      </c>
      <c r="K17" s="44" t="s">
        <v>52</v>
      </c>
      <c r="L17" s="44" t="s">
        <v>44</v>
      </c>
      <c r="M17" s="9">
        <v>5000000</v>
      </c>
      <c r="N17" s="44" t="s">
        <v>250</v>
      </c>
      <c r="O17" s="44" t="s">
        <v>36</v>
      </c>
      <c r="P17" s="37" t="s">
        <v>122</v>
      </c>
      <c r="Q17" s="39"/>
      <c r="R17" s="39"/>
      <c r="S17" s="39"/>
      <c r="T17" s="39"/>
      <c r="U17" s="39"/>
      <c r="V17" s="39"/>
      <c r="W17" s="39"/>
      <c r="X17" s="39"/>
      <c r="Y17" s="39"/>
      <c r="Z17" s="39"/>
      <c r="AA17" s="39"/>
      <c r="AB17" s="39"/>
      <c r="AC17" s="39"/>
      <c r="AD17" s="39"/>
      <c r="AE17" s="40"/>
      <c r="AF17" s="40"/>
      <c r="AG17" s="41">
        <v>580</v>
      </c>
      <c r="AH17" s="40"/>
      <c r="AI17" s="40"/>
      <c r="AJ17" s="40"/>
      <c r="AK17" s="40"/>
      <c r="AL17" s="40"/>
      <c r="AM17" s="40"/>
      <c r="AN17" s="40"/>
      <c r="AO17" s="40"/>
      <c r="AP17" s="41">
        <v>406</v>
      </c>
      <c r="AQ17" s="40"/>
      <c r="AR17" s="40"/>
      <c r="AS17" s="39"/>
      <c r="AT17" s="39"/>
      <c r="AU17" s="39"/>
      <c r="AV17" s="39"/>
      <c r="AW17" s="39"/>
      <c r="AX17" s="39"/>
      <c r="AY17" s="39"/>
      <c r="AZ17" s="39"/>
      <c r="BA17" s="39"/>
      <c r="BB17" s="39"/>
      <c r="BC17" s="39"/>
    </row>
    <row r="18" spans="1:55" ht="20.399999999999999" x14ac:dyDescent="0.3">
      <c r="A18" s="155" t="s">
        <v>98</v>
      </c>
      <c r="B18" s="155" t="s">
        <v>29</v>
      </c>
      <c r="C18" s="157" t="s">
        <v>174</v>
      </c>
      <c r="D18" s="155" t="s">
        <v>31</v>
      </c>
      <c r="E18" s="155" t="s">
        <v>24</v>
      </c>
      <c r="F18" s="155" t="s">
        <v>33</v>
      </c>
      <c r="G18" s="159">
        <f>SUM(M18:M19)*I18</f>
        <v>4950000</v>
      </c>
      <c r="H18" s="159">
        <f>SUM(M18:M19)-G18</f>
        <v>550000</v>
      </c>
      <c r="I18" s="161">
        <v>0.9</v>
      </c>
      <c r="J18" s="125" t="s">
        <v>276</v>
      </c>
      <c r="K18" s="44" t="s">
        <v>168</v>
      </c>
      <c r="L18" s="44" t="s">
        <v>50</v>
      </c>
      <c r="M18" s="46">
        <v>550000</v>
      </c>
      <c r="N18" s="44" t="s">
        <v>258</v>
      </c>
      <c r="O18" s="44" t="s">
        <v>36</v>
      </c>
      <c r="P18" s="37" t="s">
        <v>121</v>
      </c>
      <c r="Q18" s="39"/>
      <c r="R18" s="39"/>
      <c r="S18" s="39"/>
      <c r="T18" s="39"/>
      <c r="U18" s="39"/>
      <c r="V18" s="39"/>
      <c r="W18" s="39"/>
      <c r="X18" s="39"/>
      <c r="Y18" s="39"/>
      <c r="Z18" s="39"/>
      <c r="AA18" s="39"/>
      <c r="AB18" s="39"/>
      <c r="AC18" s="39"/>
      <c r="AD18" s="39"/>
      <c r="AE18" s="40"/>
      <c r="AF18" s="40"/>
      <c r="AG18" s="40"/>
      <c r="AH18" s="40"/>
      <c r="AI18" s="40"/>
      <c r="AJ18" s="40"/>
      <c r="AK18" s="40"/>
      <c r="AL18" s="40"/>
      <c r="AM18" s="40"/>
      <c r="AN18" s="40"/>
      <c r="AO18" s="40"/>
      <c r="AP18" s="40"/>
      <c r="AQ18" s="40"/>
      <c r="AR18" s="40"/>
      <c r="AS18" s="39"/>
      <c r="AT18" s="39"/>
      <c r="AU18" s="39"/>
      <c r="AV18" s="39"/>
      <c r="AW18" s="39"/>
      <c r="AX18" s="39"/>
      <c r="AY18" s="39"/>
      <c r="AZ18" s="39"/>
      <c r="BA18" s="39"/>
      <c r="BB18" s="39"/>
      <c r="BC18" s="39"/>
    </row>
    <row r="19" spans="1:55" ht="20.399999999999999" x14ac:dyDescent="0.3">
      <c r="A19" s="156"/>
      <c r="B19" s="156"/>
      <c r="C19" s="158"/>
      <c r="D19" s="156"/>
      <c r="E19" s="156"/>
      <c r="F19" s="156"/>
      <c r="G19" s="160"/>
      <c r="H19" s="160"/>
      <c r="I19" s="162"/>
      <c r="J19" s="124"/>
      <c r="K19" s="44" t="s">
        <v>169</v>
      </c>
      <c r="L19" s="44" t="s">
        <v>50</v>
      </c>
      <c r="M19" s="46">
        <v>4950000</v>
      </c>
      <c r="N19" s="44" t="s">
        <v>258</v>
      </c>
      <c r="O19" s="44" t="s">
        <v>36</v>
      </c>
      <c r="P19" s="37" t="s">
        <v>121</v>
      </c>
      <c r="Q19" s="39"/>
      <c r="R19" s="39"/>
      <c r="S19" s="39"/>
      <c r="T19" s="39"/>
      <c r="U19" s="39"/>
      <c r="V19" s="39"/>
      <c r="W19" s="39"/>
      <c r="X19" s="39"/>
      <c r="Y19" s="39"/>
      <c r="Z19" s="39"/>
      <c r="AA19" s="39"/>
      <c r="AB19" s="39"/>
      <c r="AC19" s="39"/>
      <c r="AD19" s="39"/>
      <c r="AE19" s="54"/>
      <c r="AF19" s="54"/>
      <c r="AG19" s="55">
        <v>6300</v>
      </c>
      <c r="AH19" s="55">
        <v>6300</v>
      </c>
      <c r="AI19" s="56"/>
      <c r="AJ19" s="56"/>
      <c r="AK19" s="56"/>
      <c r="AL19" s="56"/>
      <c r="AM19" s="56"/>
      <c r="AN19" s="56"/>
      <c r="AO19" s="41">
        <f>AP19/2</f>
        <v>2205</v>
      </c>
      <c r="AP19" s="55">
        <f>AH19*0.7</f>
        <v>4410</v>
      </c>
      <c r="AQ19" s="54"/>
      <c r="AR19" s="54"/>
      <c r="AS19" s="57"/>
      <c r="AT19" s="57"/>
      <c r="AU19" s="57"/>
      <c r="AV19" s="57"/>
      <c r="AW19" s="57"/>
      <c r="AX19" s="57"/>
      <c r="AY19" s="57"/>
      <c r="AZ19" s="57"/>
      <c r="BA19" s="57"/>
      <c r="BB19" s="57"/>
      <c r="BC19" s="57"/>
    </row>
    <row r="20" spans="1:55" ht="40.799999999999997" x14ac:dyDescent="0.3">
      <c r="A20" s="47" t="s">
        <v>53</v>
      </c>
      <c r="B20" s="47" t="s">
        <v>29</v>
      </c>
      <c r="C20" s="47" t="s">
        <v>54</v>
      </c>
      <c r="D20" s="47" t="s">
        <v>31</v>
      </c>
      <c r="E20" s="47" t="s">
        <v>24</v>
      </c>
      <c r="F20" s="47" t="s">
        <v>33</v>
      </c>
      <c r="G20" s="51">
        <v>5787113</v>
      </c>
      <c r="H20" s="51">
        <v>1929037</v>
      </c>
      <c r="I20" s="58">
        <f>G20/(G20+H20)</f>
        <v>0.75000006479915504</v>
      </c>
      <c r="J20" s="58" t="s">
        <v>132</v>
      </c>
      <c r="K20" s="50" t="s">
        <v>55</v>
      </c>
      <c r="L20" s="50" t="s">
        <v>50</v>
      </c>
      <c r="M20" s="10">
        <f>H20+G20</f>
        <v>7716150</v>
      </c>
      <c r="N20" s="50" t="s">
        <v>251</v>
      </c>
      <c r="O20" s="50" t="s">
        <v>56</v>
      </c>
      <c r="P20" s="59" t="s">
        <v>122</v>
      </c>
      <c r="Q20" s="39"/>
      <c r="R20" s="39"/>
      <c r="S20" s="39"/>
      <c r="T20" s="39"/>
      <c r="U20" s="39"/>
      <c r="V20" s="39"/>
      <c r="W20" s="39"/>
      <c r="X20" s="39"/>
      <c r="Y20" s="39"/>
      <c r="Z20" s="39"/>
      <c r="AA20" s="39"/>
      <c r="AB20" s="39"/>
      <c r="AC20" s="39"/>
      <c r="AD20" s="39"/>
      <c r="AE20" s="40"/>
      <c r="AF20" s="40"/>
      <c r="AG20" s="60">
        <v>6403</v>
      </c>
      <c r="AH20" s="60">
        <v>500</v>
      </c>
      <c r="AI20" s="61">
        <v>975</v>
      </c>
      <c r="AJ20" s="40"/>
      <c r="AK20" s="40"/>
      <c r="AL20" s="40"/>
      <c r="AM20" s="40"/>
      <c r="AN20" s="60">
        <v>15</v>
      </c>
      <c r="AO20" s="102"/>
      <c r="AP20" s="41">
        <v>4482</v>
      </c>
      <c r="AQ20" s="40"/>
      <c r="AR20" s="40"/>
      <c r="AS20" s="39"/>
      <c r="AT20" s="39"/>
      <c r="AU20" s="39"/>
      <c r="AV20" s="39"/>
      <c r="AW20" s="39"/>
      <c r="AX20" s="39"/>
      <c r="AY20" s="39"/>
      <c r="AZ20" s="39"/>
      <c r="BA20" s="39"/>
      <c r="BB20" s="39"/>
      <c r="BC20" s="39"/>
    </row>
    <row r="21" spans="1:55" ht="40.799999999999997" x14ac:dyDescent="0.3">
      <c r="A21" s="103" t="s">
        <v>106</v>
      </c>
      <c r="B21" s="103" t="s">
        <v>29</v>
      </c>
      <c r="C21" s="103" t="s">
        <v>38</v>
      </c>
      <c r="D21" s="103" t="s">
        <v>39</v>
      </c>
      <c r="E21" s="104" t="s">
        <v>24</v>
      </c>
      <c r="F21" s="104" t="s">
        <v>33</v>
      </c>
      <c r="G21" s="105"/>
      <c r="H21" s="106"/>
      <c r="I21" s="107"/>
      <c r="J21" s="108" t="s">
        <v>274</v>
      </c>
      <c r="K21" s="106" t="s">
        <v>106</v>
      </c>
      <c r="L21" s="109"/>
      <c r="M21" s="110"/>
      <c r="N21" s="109"/>
      <c r="O21" s="109"/>
      <c r="P21" s="111"/>
      <c r="Q21" s="62"/>
      <c r="R21" s="39"/>
      <c r="S21" s="39"/>
      <c r="T21" s="39"/>
      <c r="U21" s="39"/>
      <c r="V21" s="39"/>
      <c r="W21" s="39"/>
      <c r="X21" s="39"/>
      <c r="Y21" s="39"/>
      <c r="Z21" s="39"/>
      <c r="AA21" s="39"/>
      <c r="AB21" s="39"/>
      <c r="AC21" s="39"/>
      <c r="AD21" s="39"/>
      <c r="AE21" s="40"/>
      <c r="AF21" s="40"/>
      <c r="AG21" s="40"/>
      <c r="AH21" s="40"/>
      <c r="AI21" s="40"/>
      <c r="AJ21" s="40"/>
      <c r="AK21" s="40"/>
      <c r="AL21" s="40"/>
      <c r="AM21" s="40"/>
      <c r="AN21" s="40"/>
      <c r="AO21" s="40"/>
      <c r="AP21" s="40"/>
      <c r="AQ21" s="40"/>
      <c r="AR21" s="40"/>
      <c r="AS21" s="39"/>
      <c r="AT21" s="39"/>
      <c r="AU21" s="39"/>
      <c r="AV21" s="39"/>
      <c r="AW21" s="39"/>
      <c r="AX21" s="39"/>
      <c r="AY21" s="39"/>
      <c r="AZ21" s="39"/>
      <c r="BA21" s="39"/>
      <c r="BB21" s="39"/>
      <c r="BC21" s="39"/>
    </row>
    <row r="22" spans="1:55" ht="40.799999999999997" x14ac:dyDescent="0.3">
      <c r="A22" s="123" t="s">
        <v>154</v>
      </c>
      <c r="B22" s="123" t="s">
        <v>29</v>
      </c>
      <c r="C22" s="123" t="s">
        <v>38</v>
      </c>
      <c r="D22" s="123" t="s">
        <v>39</v>
      </c>
      <c r="E22" s="123" t="s">
        <v>24</v>
      </c>
      <c r="F22" s="123" t="s">
        <v>33</v>
      </c>
      <c r="G22" s="53">
        <v>3116138</v>
      </c>
      <c r="H22" s="53">
        <v>1038712</v>
      </c>
      <c r="I22" s="64">
        <f>G22/(G22+H22)</f>
        <v>0.75000012034128793</v>
      </c>
      <c r="J22" s="64" t="s">
        <v>132</v>
      </c>
      <c r="K22" s="52" t="s">
        <v>55</v>
      </c>
      <c r="L22" s="52" t="s">
        <v>41</v>
      </c>
      <c r="M22" s="11">
        <v>4154850</v>
      </c>
      <c r="N22" s="52" t="s">
        <v>252</v>
      </c>
      <c r="O22" s="52" t="s">
        <v>57</v>
      </c>
      <c r="P22" s="65" t="s">
        <v>122</v>
      </c>
      <c r="Q22" s="39"/>
      <c r="R22" s="39"/>
      <c r="S22" s="39"/>
      <c r="T22" s="39"/>
      <c r="U22" s="39"/>
      <c r="V22" s="39"/>
      <c r="W22" s="39"/>
      <c r="X22" s="39"/>
      <c r="Y22" s="39"/>
      <c r="Z22" s="39"/>
      <c r="AA22" s="39"/>
      <c r="AB22" s="39"/>
      <c r="AC22" s="39"/>
      <c r="AD22" s="39"/>
      <c r="AE22" s="40"/>
      <c r="AF22" s="40"/>
      <c r="AG22" s="60">
        <v>3447</v>
      </c>
      <c r="AH22" s="60">
        <v>269</v>
      </c>
      <c r="AI22" s="61">
        <v>525</v>
      </c>
      <c r="AJ22" s="40"/>
      <c r="AK22" s="40"/>
      <c r="AL22" s="40"/>
      <c r="AM22" s="40"/>
      <c r="AN22" s="40"/>
      <c r="AO22" s="40"/>
      <c r="AP22" s="41">
        <v>2413</v>
      </c>
      <c r="AQ22" s="40"/>
      <c r="AR22" s="40"/>
      <c r="AS22" s="39"/>
      <c r="AT22" s="39"/>
      <c r="AU22" s="39"/>
      <c r="AV22" s="39"/>
      <c r="AW22" s="39"/>
      <c r="AX22" s="39"/>
      <c r="AY22" s="39"/>
      <c r="AZ22" s="39"/>
      <c r="BA22" s="39"/>
      <c r="BB22" s="39"/>
      <c r="BC22" s="39"/>
    </row>
    <row r="23" spans="1:55" ht="20.399999999999999" x14ac:dyDescent="0.3">
      <c r="A23" s="124"/>
      <c r="B23" s="124"/>
      <c r="C23" s="124"/>
      <c r="D23" s="124"/>
      <c r="E23" s="124"/>
      <c r="F23" s="124"/>
      <c r="G23" s="42">
        <v>270000</v>
      </c>
      <c r="H23" s="42">
        <v>30000</v>
      </c>
      <c r="I23" s="43">
        <v>0.9</v>
      </c>
      <c r="J23" s="64" t="s">
        <v>276</v>
      </c>
      <c r="K23" s="44" t="s">
        <v>125</v>
      </c>
      <c r="L23" s="44" t="s">
        <v>41</v>
      </c>
      <c r="M23" s="9">
        <v>300000</v>
      </c>
      <c r="N23" s="44" t="s">
        <v>253</v>
      </c>
      <c r="O23" s="44" t="s">
        <v>57</v>
      </c>
      <c r="P23" s="37" t="s">
        <v>126</v>
      </c>
      <c r="Q23" s="39"/>
      <c r="R23" s="39"/>
      <c r="S23" s="39"/>
      <c r="T23" s="39"/>
      <c r="U23" s="39"/>
      <c r="V23" s="39"/>
      <c r="W23" s="39"/>
      <c r="X23" s="39"/>
      <c r="Y23" s="39"/>
      <c r="Z23" s="39"/>
      <c r="AA23" s="39"/>
      <c r="AB23" s="39"/>
      <c r="AC23" s="39"/>
      <c r="AD23" s="39"/>
      <c r="AE23" s="40"/>
      <c r="AF23" s="40"/>
      <c r="AG23" s="41">
        <v>300</v>
      </c>
      <c r="AH23" s="40"/>
      <c r="AI23" s="40"/>
      <c r="AJ23" s="40"/>
      <c r="AK23" s="40"/>
      <c r="AL23" s="40"/>
      <c r="AM23" s="40"/>
      <c r="AN23" s="40"/>
      <c r="AO23" s="40"/>
      <c r="AP23" s="40"/>
      <c r="AQ23" s="40"/>
      <c r="AR23" s="40"/>
      <c r="AS23" s="39"/>
      <c r="AT23" s="39"/>
      <c r="AU23" s="39"/>
      <c r="AV23" s="39"/>
      <c r="AW23" s="39"/>
      <c r="AX23" s="39"/>
      <c r="AY23" s="39"/>
      <c r="AZ23" s="39"/>
      <c r="BA23" s="39"/>
      <c r="BB23" s="39"/>
      <c r="BC23" s="39"/>
    </row>
    <row r="24" spans="1:55" ht="40.799999999999997" x14ac:dyDescent="0.3">
      <c r="A24" s="28" t="s">
        <v>155</v>
      </c>
      <c r="B24" s="28" t="s">
        <v>29</v>
      </c>
      <c r="C24" s="28" t="s">
        <v>38</v>
      </c>
      <c r="D24" s="28" t="s">
        <v>39</v>
      </c>
      <c r="E24" s="28" t="s">
        <v>24</v>
      </c>
      <c r="F24" s="28" t="s">
        <v>33</v>
      </c>
      <c r="G24" s="42">
        <f>M24*I24</f>
        <v>873669.09600000002</v>
      </c>
      <c r="H24" s="42">
        <f>M24*0.1</f>
        <v>97074.343999999997</v>
      </c>
      <c r="I24" s="43">
        <v>0.9</v>
      </c>
      <c r="J24" s="48" t="s">
        <v>276</v>
      </c>
      <c r="K24" s="44" t="s">
        <v>105</v>
      </c>
      <c r="L24" s="44" t="s">
        <v>41</v>
      </c>
      <c r="M24" s="9">
        <v>970743.44</v>
      </c>
      <c r="N24" s="44" t="s">
        <v>104</v>
      </c>
      <c r="O24" s="44" t="s">
        <v>36</v>
      </c>
      <c r="P24" s="37" t="s">
        <v>124</v>
      </c>
      <c r="Q24" s="39"/>
      <c r="R24" s="39"/>
      <c r="S24" s="39"/>
      <c r="T24" s="39"/>
      <c r="U24" s="39"/>
      <c r="V24" s="39"/>
      <c r="W24" s="39"/>
      <c r="X24" s="39"/>
      <c r="Y24" s="39"/>
      <c r="Z24" s="39"/>
      <c r="AA24" s="39"/>
      <c r="AB24" s="39"/>
      <c r="AC24" s="39"/>
      <c r="AD24" s="39"/>
      <c r="AE24" s="40"/>
      <c r="AF24" s="40"/>
      <c r="AG24" s="60">
        <v>1200</v>
      </c>
      <c r="AH24" s="40"/>
      <c r="AI24" s="40"/>
      <c r="AJ24" s="40"/>
      <c r="AK24" s="40"/>
      <c r="AL24" s="40"/>
      <c r="AM24" s="40"/>
      <c r="AN24" s="40"/>
      <c r="AO24" s="40"/>
      <c r="AP24" s="41">
        <v>840</v>
      </c>
      <c r="AQ24" s="40"/>
      <c r="AR24" s="40"/>
      <c r="AS24" s="39"/>
      <c r="AT24" s="39"/>
      <c r="AU24" s="39"/>
      <c r="AV24" s="39"/>
      <c r="AW24" s="39"/>
      <c r="AX24" s="39"/>
      <c r="AY24" s="39"/>
      <c r="AZ24" s="39"/>
      <c r="BA24" s="39"/>
      <c r="BB24" s="39"/>
      <c r="BC24" s="39"/>
    </row>
    <row r="25" spans="1:55" ht="30.6" x14ac:dyDescent="0.3">
      <c r="A25" s="28" t="s">
        <v>156</v>
      </c>
      <c r="B25" s="28" t="s">
        <v>29</v>
      </c>
      <c r="C25" s="28" t="s">
        <v>177</v>
      </c>
      <c r="D25" s="28" t="s">
        <v>31</v>
      </c>
      <c r="E25" s="28" t="s">
        <v>24</v>
      </c>
      <c r="F25" s="28" t="s">
        <v>33</v>
      </c>
      <c r="G25" s="42">
        <f>M25*I25</f>
        <v>720000</v>
      </c>
      <c r="H25" s="42">
        <f>M25*0.1</f>
        <v>80000</v>
      </c>
      <c r="I25" s="43">
        <v>0.9</v>
      </c>
      <c r="J25" s="48" t="s">
        <v>276</v>
      </c>
      <c r="K25" s="44" t="s">
        <v>152</v>
      </c>
      <c r="L25" s="44" t="s">
        <v>50</v>
      </c>
      <c r="M25" s="9">
        <v>800000</v>
      </c>
      <c r="N25" s="44" t="s">
        <v>109</v>
      </c>
      <c r="O25" s="44" t="s">
        <v>36</v>
      </c>
      <c r="P25" s="37" t="s">
        <v>124</v>
      </c>
      <c r="Q25" s="39"/>
      <c r="R25" s="39"/>
      <c r="S25" s="39"/>
      <c r="T25" s="39"/>
      <c r="U25" s="39"/>
      <c r="V25" s="39"/>
      <c r="W25" s="39"/>
      <c r="X25" s="39"/>
      <c r="Y25" s="39"/>
      <c r="Z25" s="39"/>
      <c r="AA25" s="39"/>
      <c r="AB25" s="39"/>
      <c r="AC25" s="39"/>
      <c r="AD25" s="39"/>
      <c r="AE25" s="40"/>
      <c r="AF25" s="40"/>
      <c r="AG25" s="60">
        <v>200</v>
      </c>
      <c r="AH25" s="40"/>
      <c r="AI25" s="40"/>
      <c r="AJ25" s="40"/>
      <c r="AK25" s="40"/>
      <c r="AL25" s="40"/>
      <c r="AM25" s="40"/>
      <c r="AN25" s="40"/>
      <c r="AO25" s="40"/>
      <c r="AP25" s="40"/>
      <c r="AQ25" s="40"/>
      <c r="AR25" s="40"/>
      <c r="AS25" s="39"/>
      <c r="AT25" s="39"/>
      <c r="AU25" s="39"/>
      <c r="AV25" s="39"/>
      <c r="AW25" s="39"/>
      <c r="AX25" s="39"/>
      <c r="AY25" s="39"/>
      <c r="AZ25" s="39"/>
      <c r="BA25" s="39"/>
      <c r="BB25" s="39"/>
      <c r="BC25" s="39"/>
    </row>
    <row r="26" spans="1:55" ht="40.799999999999997" x14ac:dyDescent="0.3">
      <c r="A26" s="47" t="s">
        <v>157</v>
      </c>
      <c r="B26" s="47" t="s">
        <v>29</v>
      </c>
      <c r="C26" s="47" t="s">
        <v>38</v>
      </c>
      <c r="D26" s="47" t="s">
        <v>107</v>
      </c>
      <c r="E26" s="47" t="s">
        <v>24</v>
      </c>
      <c r="F26" s="47" t="s">
        <v>33</v>
      </c>
      <c r="G26" s="66">
        <f>M26*I26</f>
        <v>900000</v>
      </c>
      <c r="H26" s="42">
        <f>M26*0.1</f>
        <v>100000</v>
      </c>
      <c r="I26" s="43">
        <v>0.9</v>
      </c>
      <c r="J26" s="48" t="s">
        <v>276</v>
      </c>
      <c r="K26" s="28" t="s">
        <v>141</v>
      </c>
      <c r="L26" s="44" t="s">
        <v>41</v>
      </c>
      <c r="M26" s="9">
        <v>1000000</v>
      </c>
      <c r="N26" s="44" t="s">
        <v>161</v>
      </c>
      <c r="O26" s="44" t="s">
        <v>36</v>
      </c>
      <c r="P26" s="37" t="s">
        <v>122</v>
      </c>
      <c r="Q26" s="39"/>
      <c r="R26" s="39"/>
      <c r="S26" s="39"/>
      <c r="T26" s="39"/>
      <c r="U26" s="39"/>
      <c r="V26" s="39"/>
      <c r="W26" s="39"/>
      <c r="X26" s="39"/>
      <c r="Y26" s="39"/>
      <c r="Z26" s="39"/>
      <c r="AA26" s="39"/>
      <c r="AB26" s="39"/>
      <c r="AC26" s="39"/>
      <c r="AD26" s="39"/>
      <c r="AE26" s="40"/>
      <c r="AF26" s="40"/>
      <c r="AG26" s="60">
        <v>1000</v>
      </c>
      <c r="AH26" s="40"/>
      <c r="AI26" s="40"/>
      <c r="AJ26" s="60">
        <v>270</v>
      </c>
      <c r="AK26" s="40"/>
      <c r="AL26" s="40"/>
      <c r="AM26" s="40"/>
      <c r="AN26" s="40"/>
      <c r="AO26" s="40"/>
      <c r="AP26" s="40"/>
      <c r="AQ26" s="40"/>
      <c r="AR26" s="40"/>
      <c r="AS26" s="39"/>
      <c r="AT26" s="39"/>
      <c r="AU26" s="39"/>
      <c r="AV26" s="39"/>
      <c r="AW26" s="39"/>
      <c r="AX26" s="39"/>
      <c r="AY26" s="39"/>
      <c r="AZ26" s="39"/>
      <c r="BA26" s="39"/>
      <c r="BB26" s="39"/>
      <c r="BC26" s="39"/>
    </row>
    <row r="27" spans="1:55" s="2" customFormat="1" ht="15" customHeight="1" x14ac:dyDescent="0.3">
      <c r="A27" s="67" t="s">
        <v>58</v>
      </c>
      <c r="B27" s="68"/>
      <c r="C27" s="68"/>
      <c r="D27" s="68"/>
      <c r="E27" s="68"/>
      <c r="F27" s="69"/>
      <c r="G27" s="70">
        <f>SUM(G30:G47)</f>
        <v>34418137.633000001</v>
      </c>
      <c r="H27" s="12">
        <f>SUM(H28:H47)</f>
        <v>6613052.0069999993</v>
      </c>
      <c r="I27" s="12">
        <f>G27/(H27+G27)</f>
        <v>0.83882865534678175</v>
      </c>
      <c r="J27" s="12">
        <f>SUM(J30:J41)</f>
        <v>0</v>
      </c>
      <c r="K27" s="12">
        <f>SUM(K30:K41)</f>
        <v>0</v>
      </c>
      <c r="L27" s="12">
        <f>SUM(L30:L41)</f>
        <v>0</v>
      </c>
      <c r="M27" s="12">
        <f>SUM(M30:M47)</f>
        <v>41031189.640000008</v>
      </c>
      <c r="N27" s="12">
        <f>SUM(N30:N41)</f>
        <v>0</v>
      </c>
      <c r="O27" s="12">
        <f>SUM(O30:O41)</f>
        <v>0</v>
      </c>
      <c r="P27" s="36"/>
      <c r="Q27" s="36">
        <f t="shared" ref="Q27:AD27" si="2">SUM(Q30:Q45)</f>
        <v>13100</v>
      </c>
      <c r="R27" s="36">
        <f t="shared" si="2"/>
        <v>3100</v>
      </c>
      <c r="S27" s="36"/>
      <c r="T27" s="36">
        <f t="shared" si="2"/>
        <v>5320</v>
      </c>
      <c r="U27" s="36">
        <f t="shared" si="2"/>
        <v>1230</v>
      </c>
      <c r="V27" s="36">
        <f t="shared" si="2"/>
        <v>215</v>
      </c>
      <c r="W27" s="36">
        <f t="shared" si="2"/>
        <v>0</v>
      </c>
      <c r="X27" s="36">
        <f t="shared" si="2"/>
        <v>2200</v>
      </c>
      <c r="Y27" s="36">
        <f t="shared" si="2"/>
        <v>260</v>
      </c>
      <c r="Z27" s="36">
        <f t="shared" si="2"/>
        <v>680</v>
      </c>
      <c r="AA27" s="36">
        <f t="shared" si="2"/>
        <v>840</v>
      </c>
      <c r="AB27" s="36">
        <f t="shared" si="2"/>
        <v>0</v>
      </c>
      <c r="AC27" s="36">
        <f t="shared" si="2"/>
        <v>0</v>
      </c>
      <c r="AD27" s="36">
        <f t="shared" si="2"/>
        <v>0</v>
      </c>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row>
    <row r="28" spans="1:55" ht="30.6" x14ac:dyDescent="0.3">
      <c r="A28" s="48" t="s">
        <v>59</v>
      </c>
      <c r="B28" s="48" t="s">
        <v>22</v>
      </c>
      <c r="C28" s="48" t="s">
        <v>23</v>
      </c>
      <c r="D28" s="48" t="s">
        <v>23</v>
      </c>
      <c r="E28" s="48" t="s">
        <v>32</v>
      </c>
      <c r="F28" s="48"/>
      <c r="G28" s="42"/>
      <c r="H28" s="42"/>
      <c r="I28" s="71"/>
      <c r="J28" s="43" t="s">
        <v>132</v>
      </c>
      <c r="K28" s="72"/>
      <c r="L28" s="72"/>
      <c r="M28" s="13"/>
      <c r="N28" s="72"/>
      <c r="O28" s="72"/>
      <c r="P28" s="73"/>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row>
    <row r="29" spans="1:55" ht="61.2" x14ac:dyDescent="0.3">
      <c r="A29" s="28" t="s">
        <v>60</v>
      </c>
      <c r="B29" s="28" t="s">
        <v>26</v>
      </c>
      <c r="C29" s="28" t="s">
        <v>23</v>
      </c>
      <c r="D29" s="28" t="s">
        <v>23</v>
      </c>
      <c r="E29" s="28" t="s">
        <v>32</v>
      </c>
      <c r="F29" s="28"/>
      <c r="G29" s="42"/>
      <c r="H29" s="42"/>
      <c r="I29" s="71"/>
      <c r="J29" s="43" t="s">
        <v>132</v>
      </c>
      <c r="K29" s="72"/>
      <c r="L29" s="72"/>
      <c r="M29" s="13"/>
      <c r="N29" s="72"/>
      <c r="O29" s="72"/>
      <c r="P29" s="73"/>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row>
    <row r="30" spans="1:55" ht="20.399999999999999" x14ac:dyDescent="0.3">
      <c r="A30" s="125" t="s">
        <v>243</v>
      </c>
      <c r="B30" s="125" t="s">
        <v>29</v>
      </c>
      <c r="C30" s="128" t="s">
        <v>61</v>
      </c>
      <c r="D30" s="128" t="s">
        <v>31</v>
      </c>
      <c r="E30" s="128" t="s">
        <v>24</v>
      </c>
      <c r="F30" s="128" t="s">
        <v>33</v>
      </c>
      <c r="G30" s="129">
        <v>1061475</v>
      </c>
      <c r="H30" s="129">
        <v>353825</v>
      </c>
      <c r="I30" s="130">
        <f>G30/(G30+H30)</f>
        <v>0.75</v>
      </c>
      <c r="J30" s="43" t="s">
        <v>132</v>
      </c>
      <c r="K30" s="44" t="s">
        <v>62</v>
      </c>
      <c r="L30" s="44" t="s">
        <v>178</v>
      </c>
      <c r="M30" s="9">
        <v>1010409</v>
      </c>
      <c r="N30" s="44" t="s">
        <v>254</v>
      </c>
      <c r="O30" s="44" t="s">
        <v>36</v>
      </c>
      <c r="P30" s="37" t="s">
        <v>111</v>
      </c>
      <c r="Q30" s="76"/>
      <c r="R30" s="76"/>
      <c r="S30" s="76"/>
      <c r="T30" s="76"/>
      <c r="U30" s="76"/>
      <c r="V30" s="55">
        <v>75</v>
      </c>
      <c r="W30" s="76"/>
      <c r="X30" s="76"/>
      <c r="Y30" s="76"/>
      <c r="Z30" s="76"/>
      <c r="AA30" s="76"/>
      <c r="AB30" s="76"/>
      <c r="AC30" s="76"/>
      <c r="AD30" s="76"/>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row>
    <row r="31" spans="1:55" ht="30.6" x14ac:dyDescent="0.3">
      <c r="A31" s="123"/>
      <c r="B31" s="124"/>
      <c r="C31" s="128"/>
      <c r="D31" s="128"/>
      <c r="E31" s="128"/>
      <c r="F31" s="128"/>
      <c r="G31" s="129"/>
      <c r="H31" s="129"/>
      <c r="I31" s="130"/>
      <c r="J31" s="43" t="s">
        <v>132</v>
      </c>
      <c r="K31" s="44" t="s">
        <v>64</v>
      </c>
      <c r="L31" s="44" t="s">
        <v>46</v>
      </c>
      <c r="M31" s="9">
        <v>404891</v>
      </c>
      <c r="N31" s="44" t="s">
        <v>259</v>
      </c>
      <c r="O31" s="44" t="s">
        <v>36</v>
      </c>
      <c r="P31" s="37" t="s">
        <v>111</v>
      </c>
      <c r="Q31" s="76"/>
      <c r="R31" s="76"/>
      <c r="S31" s="76"/>
      <c r="T31" s="76"/>
      <c r="U31" s="76"/>
      <c r="V31" s="76"/>
      <c r="W31" s="76"/>
      <c r="X31" s="76"/>
      <c r="Y31" s="76"/>
      <c r="Z31" s="76"/>
      <c r="AA31" s="76"/>
      <c r="AB31" s="76"/>
      <c r="AC31" s="76"/>
      <c r="AD31" s="76"/>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row>
    <row r="32" spans="1:55" ht="30.6" x14ac:dyDescent="0.3">
      <c r="A32" s="123"/>
      <c r="B32" s="47" t="s">
        <v>29</v>
      </c>
      <c r="C32" s="131" t="s">
        <v>96</v>
      </c>
      <c r="D32" s="131" t="s">
        <v>31</v>
      </c>
      <c r="E32" s="131" t="s">
        <v>24</v>
      </c>
      <c r="F32" s="131" t="s">
        <v>33</v>
      </c>
      <c r="G32" s="9">
        <f>M32*I32</f>
        <v>5827500</v>
      </c>
      <c r="H32" s="9">
        <f>M32*0.1</f>
        <v>647500</v>
      </c>
      <c r="I32" s="75">
        <v>0.9</v>
      </c>
      <c r="J32" s="48" t="s">
        <v>276</v>
      </c>
      <c r="K32" s="44" t="s">
        <v>95</v>
      </c>
      <c r="L32" s="44" t="s">
        <v>46</v>
      </c>
      <c r="M32" s="9">
        <v>6475000</v>
      </c>
      <c r="N32" s="44" t="s">
        <v>108</v>
      </c>
      <c r="O32" s="44" t="s">
        <v>36</v>
      </c>
      <c r="P32" s="37" t="s">
        <v>111</v>
      </c>
      <c r="Q32" s="76"/>
      <c r="R32" s="76"/>
      <c r="S32" s="76"/>
      <c r="T32" s="76"/>
      <c r="U32" s="76"/>
      <c r="V32" s="76"/>
      <c r="W32" s="76"/>
      <c r="X32" s="41">
        <v>1200</v>
      </c>
      <c r="Y32" s="41">
        <v>100</v>
      </c>
      <c r="Z32" s="76"/>
      <c r="AA32" s="76"/>
      <c r="AB32" s="76"/>
      <c r="AC32" s="76"/>
      <c r="AD32" s="76"/>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row>
    <row r="33" spans="1:55" ht="20.399999999999999" x14ac:dyDescent="0.3">
      <c r="A33" s="124"/>
      <c r="B33" s="48"/>
      <c r="C33" s="132"/>
      <c r="D33" s="132"/>
      <c r="E33" s="132"/>
      <c r="F33" s="132"/>
      <c r="G33" s="9">
        <f>M33*I33</f>
        <v>1011150</v>
      </c>
      <c r="H33" s="9">
        <f>M33*0.1</f>
        <v>112350</v>
      </c>
      <c r="I33" s="75">
        <v>0.9</v>
      </c>
      <c r="J33" s="48" t="s">
        <v>276</v>
      </c>
      <c r="K33" s="43" t="s">
        <v>143</v>
      </c>
      <c r="L33" s="44" t="s">
        <v>46</v>
      </c>
      <c r="M33" s="9">
        <v>1123500</v>
      </c>
      <c r="N33" s="44" t="s">
        <v>163</v>
      </c>
      <c r="O33" s="44" t="s">
        <v>36</v>
      </c>
      <c r="P33" s="37" t="s">
        <v>111</v>
      </c>
      <c r="Q33" s="76"/>
      <c r="R33" s="76"/>
      <c r="S33" s="76"/>
      <c r="T33" s="76"/>
      <c r="U33" s="76"/>
      <c r="V33" s="76"/>
      <c r="W33" s="76"/>
      <c r="X33" s="76"/>
      <c r="Y33" s="76"/>
      <c r="Z33" s="76"/>
      <c r="AA33" s="76"/>
      <c r="AB33" s="76"/>
      <c r="AC33" s="76"/>
      <c r="AD33" s="76"/>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row>
    <row r="34" spans="1:55" ht="20.399999999999999" x14ac:dyDescent="0.3">
      <c r="A34" s="48" t="s">
        <v>188</v>
      </c>
      <c r="B34" s="48" t="s">
        <v>29</v>
      </c>
      <c r="C34" s="74" t="s">
        <v>100</v>
      </c>
      <c r="D34" s="74" t="s">
        <v>31</v>
      </c>
      <c r="E34" s="74" t="s">
        <v>24</v>
      </c>
      <c r="F34" s="74" t="s">
        <v>33</v>
      </c>
      <c r="G34" s="9">
        <f>M34*0.9</f>
        <v>4605547.5</v>
      </c>
      <c r="H34" s="9">
        <f>M34-G34</f>
        <v>511727.5</v>
      </c>
      <c r="I34" s="75">
        <v>0.9</v>
      </c>
      <c r="J34" s="48" t="s">
        <v>276</v>
      </c>
      <c r="K34" s="44" t="s">
        <v>101</v>
      </c>
      <c r="L34" s="44" t="s">
        <v>179</v>
      </c>
      <c r="M34" s="9">
        <v>5117275</v>
      </c>
      <c r="N34" s="44" t="s">
        <v>108</v>
      </c>
      <c r="O34" s="44" t="s">
        <v>36</v>
      </c>
      <c r="P34" s="37" t="s">
        <v>112</v>
      </c>
      <c r="Q34" s="76"/>
      <c r="R34" s="76"/>
      <c r="S34" s="76"/>
      <c r="T34" s="76"/>
      <c r="U34" s="60">
        <v>70</v>
      </c>
      <c r="V34" s="76"/>
      <c r="W34" s="76"/>
      <c r="X34" s="76"/>
      <c r="Y34" s="76"/>
      <c r="Z34" s="60">
        <v>50</v>
      </c>
      <c r="AA34" s="60">
        <v>50</v>
      </c>
      <c r="AB34" s="76"/>
      <c r="AC34" s="76"/>
      <c r="AD34" s="76"/>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row>
    <row r="35" spans="1:55" ht="91.8" x14ac:dyDescent="0.3">
      <c r="A35" s="28" t="s">
        <v>149</v>
      </c>
      <c r="B35" s="28" t="s">
        <v>29</v>
      </c>
      <c r="C35" s="74" t="s">
        <v>92</v>
      </c>
      <c r="D35" s="74" t="s">
        <v>31</v>
      </c>
      <c r="E35" s="74" t="s">
        <v>24</v>
      </c>
      <c r="F35" s="74" t="s">
        <v>33</v>
      </c>
      <c r="G35" s="9">
        <v>9258266.6500000004</v>
      </c>
      <c r="H35" s="9">
        <v>2314566.66</v>
      </c>
      <c r="I35" s="43">
        <f>G35/(G35+H35)</f>
        <v>0.80000000017281847</v>
      </c>
      <c r="J35" s="43" t="s">
        <v>275</v>
      </c>
      <c r="K35" s="44" t="s">
        <v>93</v>
      </c>
      <c r="L35" s="44" t="s">
        <v>180</v>
      </c>
      <c r="M35" s="9">
        <f>G35+H35</f>
        <v>11572833.310000001</v>
      </c>
      <c r="N35" s="44" t="s">
        <v>269</v>
      </c>
      <c r="O35" s="44" t="s">
        <v>36</v>
      </c>
      <c r="P35" s="37" t="s">
        <v>111</v>
      </c>
      <c r="Q35" s="76"/>
      <c r="R35" s="76"/>
      <c r="S35" s="76"/>
      <c r="T35" s="76"/>
      <c r="U35" s="76"/>
      <c r="V35" s="41">
        <v>140</v>
      </c>
      <c r="W35" s="76"/>
      <c r="X35" s="41">
        <v>1000</v>
      </c>
      <c r="Y35" s="76"/>
      <c r="Z35" s="76"/>
      <c r="AA35" s="76"/>
      <c r="AB35" s="76"/>
      <c r="AC35" s="76"/>
      <c r="AD35" s="76"/>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row>
    <row r="36" spans="1:55" ht="30.6" x14ac:dyDescent="0.3">
      <c r="A36" s="125" t="s">
        <v>65</v>
      </c>
      <c r="B36" s="126" t="s">
        <v>29</v>
      </c>
      <c r="C36" s="126" t="s">
        <v>66</v>
      </c>
      <c r="D36" s="126" t="s">
        <v>31</v>
      </c>
      <c r="E36" s="126" t="s">
        <v>24</v>
      </c>
      <c r="F36" s="126" t="s">
        <v>33</v>
      </c>
      <c r="G36" s="129">
        <f>(M36+M37+M38)*I36</f>
        <v>5016583.32</v>
      </c>
      <c r="H36" s="129">
        <f>(M36+M37+M38)*0.25</f>
        <v>1672194.44</v>
      </c>
      <c r="I36" s="140">
        <v>0.75</v>
      </c>
      <c r="J36" s="43" t="s">
        <v>132</v>
      </c>
      <c r="K36" s="44" t="s">
        <v>67</v>
      </c>
      <c r="L36" s="44" t="s">
        <v>44</v>
      </c>
      <c r="M36" s="9">
        <v>4580000</v>
      </c>
      <c r="N36" s="44" t="s">
        <v>267</v>
      </c>
      <c r="O36" s="44" t="s">
        <v>36</v>
      </c>
      <c r="P36" s="37" t="s">
        <v>111</v>
      </c>
      <c r="Q36" s="78">
        <f>625+7500</f>
        <v>8125</v>
      </c>
      <c r="R36" s="76"/>
      <c r="S36" s="78">
        <f>625+7500</f>
        <v>8125</v>
      </c>
      <c r="T36" s="78">
        <f>2900+250</f>
        <v>3150</v>
      </c>
      <c r="U36" s="76"/>
      <c r="V36" s="76"/>
      <c r="W36" s="76"/>
      <c r="X36" s="76"/>
      <c r="Y36" s="76"/>
      <c r="Z36" s="76"/>
      <c r="AA36" s="76"/>
      <c r="AB36" s="76"/>
      <c r="AC36" s="76"/>
      <c r="AD36" s="76"/>
      <c r="AE36" s="39"/>
      <c r="AF36" s="39"/>
      <c r="AG36" s="39"/>
      <c r="AH36" s="39"/>
      <c r="AI36" s="100"/>
      <c r="AJ36" s="100"/>
      <c r="AK36" s="100"/>
      <c r="AL36" s="100"/>
      <c r="AM36" s="100"/>
      <c r="AN36" s="100"/>
      <c r="AO36" s="39"/>
      <c r="AP36" s="39"/>
      <c r="AQ36" s="39"/>
      <c r="AR36" s="39"/>
      <c r="AS36" s="39"/>
      <c r="AT36" s="39">
        <f>BB37*0.75</f>
        <v>0</v>
      </c>
      <c r="AU36" s="39"/>
      <c r="AV36" s="39"/>
      <c r="AW36" s="39"/>
      <c r="AX36" s="39"/>
      <c r="AY36" s="39"/>
      <c r="AZ36" s="39"/>
      <c r="BA36" s="39"/>
      <c r="BB36" s="112"/>
      <c r="BC36" s="112"/>
    </row>
    <row r="37" spans="1:55" ht="20.399999999999999" x14ac:dyDescent="0.3">
      <c r="A37" s="123"/>
      <c r="B37" s="126"/>
      <c r="C37" s="126"/>
      <c r="D37" s="126"/>
      <c r="E37" s="126"/>
      <c r="F37" s="126"/>
      <c r="G37" s="129"/>
      <c r="H37" s="129"/>
      <c r="I37" s="141"/>
      <c r="J37" s="43" t="s">
        <v>132</v>
      </c>
      <c r="K37" s="44" t="s">
        <v>69</v>
      </c>
      <c r="L37" s="44" t="s">
        <v>68</v>
      </c>
      <c r="M37" s="9">
        <f>250000+148777.76+1222.24</f>
        <v>400000</v>
      </c>
      <c r="N37" s="44" t="s">
        <v>261</v>
      </c>
      <c r="O37" s="44" t="s">
        <v>36</v>
      </c>
      <c r="P37" s="37" t="s">
        <v>111</v>
      </c>
      <c r="Q37" s="41">
        <f>300+100</f>
        <v>400</v>
      </c>
      <c r="R37" s="41">
        <v>400</v>
      </c>
      <c r="S37" s="76"/>
      <c r="T37" s="79"/>
      <c r="U37" s="76"/>
      <c r="V37" s="76"/>
      <c r="W37" s="76"/>
      <c r="X37" s="76"/>
      <c r="Y37" s="76"/>
      <c r="Z37" s="76"/>
      <c r="AA37" s="76"/>
      <c r="AB37" s="76"/>
      <c r="AC37" s="76"/>
      <c r="AD37" s="76"/>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row>
    <row r="38" spans="1:55" ht="20.399999999999999" x14ac:dyDescent="0.3">
      <c r="A38" s="123"/>
      <c r="B38" s="126"/>
      <c r="C38" s="126"/>
      <c r="D38" s="126"/>
      <c r="E38" s="126"/>
      <c r="F38" s="126"/>
      <c r="G38" s="129"/>
      <c r="H38" s="129"/>
      <c r="I38" s="141"/>
      <c r="J38" s="43" t="s">
        <v>132</v>
      </c>
      <c r="K38" s="44" t="s">
        <v>69</v>
      </c>
      <c r="L38" s="44" t="s">
        <v>50</v>
      </c>
      <c r="M38" s="9">
        <f>1250000+458777.76</f>
        <v>1708777.76</v>
      </c>
      <c r="N38" s="44" t="s">
        <v>263</v>
      </c>
      <c r="O38" s="44" t="s">
        <v>36</v>
      </c>
      <c r="P38" s="37" t="s">
        <v>111</v>
      </c>
      <c r="Q38" s="60">
        <f>2200+100+400</f>
        <v>2700</v>
      </c>
      <c r="R38" s="41">
        <f>2300+400</f>
        <v>2700</v>
      </c>
      <c r="S38" s="76"/>
      <c r="T38" s="41">
        <v>1420</v>
      </c>
      <c r="U38" s="76"/>
      <c r="V38" s="76"/>
      <c r="W38" s="76"/>
      <c r="X38" s="76"/>
      <c r="Y38" s="76"/>
      <c r="Z38" s="76"/>
      <c r="AA38" s="76"/>
      <c r="AB38" s="76"/>
      <c r="AC38" s="76"/>
      <c r="AD38" s="76"/>
      <c r="AE38" s="57"/>
      <c r="AF38" s="57"/>
      <c r="AG38" s="57"/>
      <c r="AH38" s="57"/>
      <c r="AI38" s="57"/>
      <c r="AJ38" s="57"/>
      <c r="AK38" s="57"/>
      <c r="AL38" s="57"/>
      <c r="AM38" s="57"/>
      <c r="AN38" s="57"/>
      <c r="AO38" s="39"/>
      <c r="AP38" s="39"/>
      <c r="AQ38" s="39"/>
      <c r="AR38" s="39"/>
      <c r="AS38" s="39"/>
      <c r="AT38" s="39"/>
      <c r="AU38" s="39"/>
      <c r="AV38" s="39"/>
      <c r="AW38" s="39"/>
      <c r="AX38" s="39"/>
      <c r="AY38" s="39"/>
      <c r="AZ38" s="39"/>
      <c r="BA38" s="39"/>
      <c r="BB38" s="57"/>
      <c r="BC38" s="57"/>
    </row>
    <row r="39" spans="1:55" ht="20.399999999999999" x14ac:dyDescent="0.3">
      <c r="A39" s="124"/>
      <c r="B39" s="28" t="s">
        <v>29</v>
      </c>
      <c r="C39" s="28" t="s">
        <v>45</v>
      </c>
      <c r="D39" s="74" t="s">
        <v>31</v>
      </c>
      <c r="E39" s="74" t="s">
        <v>24</v>
      </c>
      <c r="F39" s="74" t="s">
        <v>33</v>
      </c>
      <c r="G39" s="9">
        <f>M39*I39</f>
        <v>900000</v>
      </c>
      <c r="H39" s="9">
        <f>M39-G39</f>
        <v>100000</v>
      </c>
      <c r="I39" s="64">
        <v>0.9</v>
      </c>
      <c r="J39" s="48" t="s">
        <v>276</v>
      </c>
      <c r="K39" s="44" t="s">
        <v>102</v>
      </c>
      <c r="L39" s="44" t="s">
        <v>50</v>
      </c>
      <c r="M39" s="9">
        <v>1000000</v>
      </c>
      <c r="N39" s="44" t="s">
        <v>164</v>
      </c>
      <c r="O39" s="44" t="s">
        <v>36</v>
      </c>
      <c r="P39" s="37" t="s">
        <v>111</v>
      </c>
      <c r="Q39" s="80">
        <v>1250</v>
      </c>
      <c r="R39" s="76"/>
      <c r="S39" s="76"/>
      <c r="T39" s="55">
        <v>500</v>
      </c>
      <c r="U39" s="76"/>
      <c r="V39" s="76"/>
      <c r="W39" s="76"/>
      <c r="X39" s="76"/>
      <c r="Y39" s="76"/>
      <c r="Z39" s="76"/>
      <c r="AA39" s="76"/>
      <c r="AB39" s="76"/>
      <c r="AC39" s="76"/>
      <c r="AD39" s="76"/>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row>
    <row r="40" spans="1:55" ht="40.799999999999997" x14ac:dyDescent="0.3">
      <c r="A40" s="28" t="s">
        <v>99</v>
      </c>
      <c r="B40" s="28" t="s">
        <v>29</v>
      </c>
      <c r="C40" s="28" t="s">
        <v>38</v>
      </c>
      <c r="D40" s="74" t="s">
        <v>39</v>
      </c>
      <c r="E40" s="74" t="s">
        <v>24</v>
      </c>
      <c r="F40" s="74" t="s">
        <v>33</v>
      </c>
      <c r="G40" s="42">
        <v>375000</v>
      </c>
      <c r="H40" s="42">
        <v>125000</v>
      </c>
      <c r="I40" s="75">
        <f>G40/(G40+H40)</f>
        <v>0.75</v>
      </c>
      <c r="J40" s="43" t="s">
        <v>132</v>
      </c>
      <c r="K40" s="44" t="s">
        <v>70</v>
      </c>
      <c r="L40" s="44" t="s">
        <v>41</v>
      </c>
      <c r="M40" s="9">
        <v>500000</v>
      </c>
      <c r="N40" s="44" t="s">
        <v>261</v>
      </c>
      <c r="O40" s="44" t="s">
        <v>36</v>
      </c>
      <c r="P40" s="37" t="s">
        <v>111</v>
      </c>
      <c r="Q40" s="78">
        <f>625</f>
        <v>625</v>
      </c>
      <c r="R40" s="76"/>
      <c r="S40" s="78">
        <f>625</f>
        <v>625</v>
      </c>
      <c r="T40" s="78">
        <f>Q40*40%</f>
        <v>250</v>
      </c>
      <c r="U40" s="76"/>
      <c r="V40" s="76"/>
      <c r="W40" s="76"/>
      <c r="X40" s="76"/>
      <c r="Y40" s="76"/>
      <c r="Z40" s="76"/>
      <c r="AA40" s="76"/>
      <c r="AB40" s="76"/>
      <c r="AC40" s="76"/>
      <c r="AD40" s="76"/>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row>
    <row r="41" spans="1:55" ht="40.799999999999997" x14ac:dyDescent="0.3">
      <c r="A41" s="47" t="s">
        <v>160</v>
      </c>
      <c r="B41" s="28" t="s">
        <v>29</v>
      </c>
      <c r="C41" s="28" t="s">
        <v>38</v>
      </c>
      <c r="D41" s="28" t="s">
        <v>39</v>
      </c>
      <c r="E41" s="28" t="s">
        <v>24</v>
      </c>
      <c r="F41" s="28" t="s">
        <v>33</v>
      </c>
      <c r="G41" s="42">
        <f>M41*0.75</f>
        <v>197690.25</v>
      </c>
      <c r="H41" s="81">
        <f>M41*0.25</f>
        <v>65896.75</v>
      </c>
      <c r="I41" s="75">
        <v>0.75</v>
      </c>
      <c r="J41" s="43" t="s">
        <v>132</v>
      </c>
      <c r="K41" s="44" t="s">
        <v>118</v>
      </c>
      <c r="L41" s="44" t="s">
        <v>41</v>
      </c>
      <c r="M41" s="9">
        <v>263587</v>
      </c>
      <c r="N41" s="44" t="s">
        <v>255</v>
      </c>
      <c r="O41" s="44" t="s">
        <v>36</v>
      </c>
      <c r="P41" s="37" t="s">
        <v>112</v>
      </c>
      <c r="Q41" s="76"/>
      <c r="R41" s="76"/>
      <c r="S41" s="76"/>
      <c r="T41" s="76"/>
      <c r="U41" s="41">
        <v>200</v>
      </c>
      <c r="V41" s="76"/>
      <c r="W41" s="76"/>
      <c r="X41" s="76"/>
      <c r="Y41" s="76"/>
      <c r="Z41" s="41">
        <f>U41*0.7</f>
        <v>140</v>
      </c>
      <c r="AA41" s="41">
        <f>U41*0.7</f>
        <v>140</v>
      </c>
      <c r="AB41" s="76"/>
      <c r="AC41" s="76"/>
      <c r="AD41" s="76"/>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row>
    <row r="42" spans="1:55" ht="30.6" x14ac:dyDescent="0.3">
      <c r="A42" s="63" t="s">
        <v>181</v>
      </c>
      <c r="B42" s="28" t="s">
        <v>29</v>
      </c>
      <c r="C42" s="28" t="s">
        <v>117</v>
      </c>
      <c r="D42" s="28" t="s">
        <v>31</v>
      </c>
      <c r="E42" s="28" t="s">
        <v>24</v>
      </c>
      <c r="F42" s="9" t="s">
        <v>33</v>
      </c>
      <c r="G42" s="9">
        <f>M42*I42</f>
        <v>3555401.1209999998</v>
      </c>
      <c r="H42" s="9">
        <f>M42-G42</f>
        <v>395044.56900000013</v>
      </c>
      <c r="I42" s="46">
        <v>0.9</v>
      </c>
      <c r="J42" s="48" t="s">
        <v>276</v>
      </c>
      <c r="K42" s="44" t="s">
        <v>153</v>
      </c>
      <c r="L42" s="44" t="s">
        <v>50</v>
      </c>
      <c r="M42" s="9">
        <v>3950445.69</v>
      </c>
      <c r="N42" s="44" t="s">
        <v>113</v>
      </c>
      <c r="O42" s="44" t="s">
        <v>36</v>
      </c>
      <c r="P42" s="37" t="s">
        <v>112</v>
      </c>
      <c r="Q42" s="76"/>
      <c r="R42" s="76"/>
      <c r="S42" s="76"/>
      <c r="T42" s="76"/>
      <c r="U42" s="41">
        <v>700</v>
      </c>
      <c r="V42" s="76"/>
      <c r="W42" s="76"/>
      <c r="X42" s="76"/>
      <c r="Y42" s="76"/>
      <c r="Z42" s="41">
        <f>U42*0.7</f>
        <v>489.99999999999994</v>
      </c>
      <c r="AA42" s="41">
        <f>U42*0.7</f>
        <v>489.99999999999994</v>
      </c>
      <c r="AB42" s="76"/>
      <c r="AC42" s="76"/>
      <c r="AD42" s="76"/>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row>
    <row r="43" spans="1:55" ht="40.799999999999997" x14ac:dyDescent="0.3">
      <c r="A43" s="47" t="s">
        <v>172</v>
      </c>
      <c r="C43" s="28" t="s">
        <v>38</v>
      </c>
      <c r="D43" s="28" t="s">
        <v>39</v>
      </c>
      <c r="E43" s="74" t="s">
        <v>24</v>
      </c>
      <c r="F43" s="74" t="s">
        <v>33</v>
      </c>
      <c r="G43" s="9">
        <v>112500</v>
      </c>
      <c r="H43" s="9">
        <v>37500</v>
      </c>
      <c r="I43" s="75">
        <f>G43/(G43+H43)</f>
        <v>0.75</v>
      </c>
      <c r="J43" s="43" t="s">
        <v>132</v>
      </c>
      <c r="K43" s="44" t="s">
        <v>71</v>
      </c>
      <c r="L43" s="44" t="s">
        <v>41</v>
      </c>
      <c r="M43" s="9">
        <v>150000</v>
      </c>
      <c r="N43" s="44" t="s">
        <v>256</v>
      </c>
      <c r="O43" s="44" t="s">
        <v>36</v>
      </c>
      <c r="P43" s="37" t="s">
        <v>151</v>
      </c>
      <c r="Q43" s="76"/>
      <c r="R43" s="76"/>
      <c r="S43" s="76"/>
      <c r="T43" s="76"/>
      <c r="U43" s="76"/>
      <c r="V43" s="76"/>
      <c r="W43" s="76"/>
      <c r="X43" s="76"/>
      <c r="Y43" s="76"/>
      <c r="Z43" s="76"/>
      <c r="AA43" s="76"/>
      <c r="AB43" s="76"/>
      <c r="AC43" s="76"/>
      <c r="AD43" s="76"/>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row>
    <row r="44" spans="1:55" ht="40.799999999999997" x14ac:dyDescent="0.3">
      <c r="A44" s="47" t="s">
        <v>173</v>
      </c>
      <c r="B44" s="28" t="s">
        <v>29</v>
      </c>
      <c r="C44" s="28" t="s">
        <v>38</v>
      </c>
      <c r="D44" s="28" t="s">
        <v>39</v>
      </c>
      <c r="E44" s="74" t="s">
        <v>24</v>
      </c>
      <c r="F44" s="74" t="s">
        <v>33</v>
      </c>
      <c r="G44" s="9">
        <f>M44*0.9</f>
        <v>651373.20000000007</v>
      </c>
      <c r="H44" s="9">
        <f>M44*0.1</f>
        <v>72374.8</v>
      </c>
      <c r="I44" s="82"/>
      <c r="J44" s="48" t="s">
        <v>276</v>
      </c>
      <c r="K44" s="44" t="s">
        <v>116</v>
      </c>
      <c r="L44" s="44" t="s">
        <v>41</v>
      </c>
      <c r="M44" s="9">
        <v>723748</v>
      </c>
      <c r="N44" s="44" t="s">
        <v>104</v>
      </c>
      <c r="O44" s="44" t="s">
        <v>36</v>
      </c>
      <c r="P44" s="37" t="s">
        <v>151</v>
      </c>
      <c r="Q44" s="76"/>
      <c r="R44" s="76"/>
      <c r="S44" s="76"/>
      <c r="T44" s="76"/>
      <c r="U44" s="76"/>
      <c r="V44" s="76"/>
      <c r="W44" s="76"/>
      <c r="X44" s="76"/>
      <c r="Y44" s="76"/>
      <c r="Z44" s="76"/>
      <c r="AA44" s="76"/>
      <c r="AB44" s="76"/>
      <c r="AC44" s="76"/>
      <c r="AD44" s="76"/>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row>
    <row r="45" spans="1:55" ht="40.799999999999997" x14ac:dyDescent="0.3">
      <c r="A45" s="125" t="s">
        <v>182</v>
      </c>
      <c r="B45" s="28" t="s">
        <v>29</v>
      </c>
      <c r="C45" s="28" t="s">
        <v>185</v>
      </c>
      <c r="D45" s="28" t="s">
        <v>31</v>
      </c>
      <c r="E45" s="74" t="s">
        <v>24</v>
      </c>
      <c r="F45" s="74" t="s">
        <v>33</v>
      </c>
      <c r="G45" s="9">
        <f>M45*I45</f>
        <v>213670.44</v>
      </c>
      <c r="H45" s="9">
        <f>M45-G45</f>
        <v>23741.160000000003</v>
      </c>
      <c r="I45" s="64">
        <v>0.9</v>
      </c>
      <c r="J45" s="48" t="s">
        <v>276</v>
      </c>
      <c r="K45" s="44" t="s">
        <v>171</v>
      </c>
      <c r="L45" s="44" t="s">
        <v>50</v>
      </c>
      <c r="M45" s="9">
        <v>237411.6</v>
      </c>
      <c r="N45" s="44" t="s">
        <v>176</v>
      </c>
      <c r="O45" s="44" t="s">
        <v>36</v>
      </c>
      <c r="P45" s="37" t="s">
        <v>115</v>
      </c>
      <c r="Q45" s="76"/>
      <c r="R45" s="76"/>
      <c r="S45" s="76"/>
      <c r="T45" s="76"/>
      <c r="U45" s="41">
        <v>260</v>
      </c>
      <c r="V45" s="76"/>
      <c r="W45" s="76"/>
      <c r="X45" s="76"/>
      <c r="Y45" s="41">
        <v>160</v>
      </c>
      <c r="Z45" s="76"/>
      <c r="AA45" s="41">
        <v>160</v>
      </c>
      <c r="AB45" s="76"/>
      <c r="AC45" s="76"/>
      <c r="AD45" s="76"/>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row>
    <row r="46" spans="1:55" ht="30.6" x14ac:dyDescent="0.3">
      <c r="A46" s="124"/>
      <c r="B46" s="48"/>
      <c r="C46" s="48" t="s">
        <v>184</v>
      </c>
      <c r="D46" s="48" t="s">
        <v>31</v>
      </c>
      <c r="E46" s="48" t="s">
        <v>24</v>
      </c>
      <c r="F46" s="48" t="s">
        <v>33</v>
      </c>
      <c r="G46" s="113">
        <f>M46*I46</f>
        <v>731980.152</v>
      </c>
      <c r="H46" s="113">
        <f>M46-G46</f>
        <v>81331.128000000026</v>
      </c>
      <c r="I46" s="64">
        <v>0.9</v>
      </c>
      <c r="J46" s="48" t="s">
        <v>276</v>
      </c>
      <c r="K46" s="44" t="s">
        <v>175</v>
      </c>
      <c r="L46" s="44" t="s">
        <v>50</v>
      </c>
      <c r="M46" s="9">
        <f>813311.28</f>
        <v>813311.28</v>
      </c>
      <c r="N46" s="44" t="s">
        <v>176</v>
      </c>
      <c r="O46" s="44" t="s">
        <v>36</v>
      </c>
      <c r="P46" s="37" t="s">
        <v>115</v>
      </c>
      <c r="Q46" s="41">
        <v>20</v>
      </c>
      <c r="R46" s="76"/>
      <c r="S46" s="76"/>
      <c r="T46" s="41">
        <v>20</v>
      </c>
      <c r="U46" s="41">
        <v>6</v>
      </c>
      <c r="V46" s="76"/>
      <c r="W46" s="76"/>
      <c r="X46" s="76"/>
      <c r="Y46" s="76"/>
      <c r="Z46" s="76"/>
      <c r="AA46" s="76"/>
      <c r="AB46" s="76"/>
      <c r="AC46" s="76"/>
      <c r="AD46" s="76"/>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row>
    <row r="47" spans="1:55" ht="30.6" x14ac:dyDescent="0.3">
      <c r="A47" s="47" t="s">
        <v>183</v>
      </c>
      <c r="B47" s="47" t="s">
        <v>29</v>
      </c>
      <c r="C47" s="47" t="s">
        <v>45</v>
      </c>
      <c r="D47" s="77" t="s">
        <v>31</v>
      </c>
      <c r="E47" s="77" t="s">
        <v>24</v>
      </c>
      <c r="F47" s="77" t="s">
        <v>33</v>
      </c>
      <c r="G47" s="9">
        <f>M47*I47</f>
        <v>900000</v>
      </c>
      <c r="H47" s="9">
        <f>M47-G47</f>
        <v>100000</v>
      </c>
      <c r="I47" s="64">
        <v>0.9</v>
      </c>
      <c r="J47" s="48" t="s">
        <v>276</v>
      </c>
      <c r="K47" s="28" t="s">
        <v>114</v>
      </c>
      <c r="L47" s="44" t="s">
        <v>50</v>
      </c>
      <c r="M47" s="9">
        <v>1000000</v>
      </c>
      <c r="N47" s="44" t="s">
        <v>104</v>
      </c>
      <c r="O47" s="44" t="s">
        <v>36</v>
      </c>
      <c r="P47" s="37" t="s">
        <v>115</v>
      </c>
      <c r="Q47" s="41">
        <v>1000</v>
      </c>
      <c r="R47" s="76"/>
      <c r="S47" s="76"/>
      <c r="T47" s="41">
        <v>1000</v>
      </c>
      <c r="U47" s="76"/>
      <c r="V47" s="76"/>
      <c r="W47" s="76"/>
      <c r="X47" s="76"/>
      <c r="Y47" s="76"/>
      <c r="Z47" s="76"/>
      <c r="AA47" s="76"/>
      <c r="AB47" s="76"/>
      <c r="AC47" s="76"/>
      <c r="AD47" s="76"/>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row>
    <row r="48" spans="1:55" s="2" customFormat="1" ht="17.25" customHeight="1" x14ac:dyDescent="0.3">
      <c r="A48" s="114" t="s">
        <v>260</v>
      </c>
      <c r="B48" s="83"/>
      <c r="C48" s="83"/>
      <c r="D48" s="83"/>
      <c r="E48" s="83"/>
      <c r="F48" s="84"/>
      <c r="G48" s="70">
        <f>SUM(G49:G59)</f>
        <v>4815255.75</v>
      </c>
      <c r="H48" s="12">
        <f>SUM(H49:H59)</f>
        <v>1605085.25</v>
      </c>
      <c r="I48" s="12">
        <f>G48/(G48+H48)</f>
        <v>0.75</v>
      </c>
      <c r="J48" s="12">
        <f>SUM(J49:J59)</f>
        <v>0</v>
      </c>
      <c r="K48" s="12">
        <f>SUM(K49:K59)</f>
        <v>0</v>
      </c>
      <c r="L48" s="12">
        <f>SUM(L49:L59)</f>
        <v>0</v>
      </c>
      <c r="M48" s="12">
        <f>SUM(M49:M59)</f>
        <v>6420341</v>
      </c>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85">
        <f t="shared" ref="AS48:AZ48" si="3">SUM(AS49:AS59)</f>
        <v>100</v>
      </c>
      <c r="AT48" s="85">
        <f t="shared" si="3"/>
        <v>14</v>
      </c>
      <c r="AU48" s="85">
        <f t="shared" si="3"/>
        <v>100</v>
      </c>
      <c r="AV48" s="85">
        <f t="shared" si="3"/>
        <v>0</v>
      </c>
      <c r="AW48" s="85">
        <f t="shared" si="3"/>
        <v>120</v>
      </c>
      <c r="AX48" s="85">
        <f t="shared" si="3"/>
        <v>667</v>
      </c>
      <c r="AY48" s="85">
        <f t="shared" si="3"/>
        <v>2000</v>
      </c>
      <c r="AZ48" s="85">
        <f t="shared" si="3"/>
        <v>667</v>
      </c>
      <c r="BA48" s="36"/>
      <c r="BB48" s="36"/>
      <c r="BC48" s="36"/>
    </row>
    <row r="49" spans="1:55" ht="20.399999999999999" x14ac:dyDescent="0.3">
      <c r="A49" s="124" t="s">
        <v>72</v>
      </c>
      <c r="B49" s="124" t="s">
        <v>29</v>
      </c>
      <c r="C49" s="124" t="s">
        <v>73</v>
      </c>
      <c r="D49" s="124" t="s">
        <v>31</v>
      </c>
      <c r="E49" s="124" t="s">
        <v>24</v>
      </c>
      <c r="F49" s="124" t="s">
        <v>33</v>
      </c>
      <c r="G49" s="144">
        <f>(M51+M50+M49+M52)*0.75</f>
        <v>1043775</v>
      </c>
      <c r="H49" s="144">
        <f>SUM(M49:M52)-G49</f>
        <v>347925</v>
      </c>
      <c r="I49" s="142">
        <f>G49/(G49+H49)</f>
        <v>0.75</v>
      </c>
      <c r="J49" s="87" t="s">
        <v>132</v>
      </c>
      <c r="K49" s="44" t="s">
        <v>74</v>
      </c>
      <c r="L49" s="44" t="s">
        <v>178</v>
      </c>
      <c r="M49" s="14">
        <v>601700</v>
      </c>
      <c r="N49" s="88" t="s">
        <v>269</v>
      </c>
      <c r="O49" s="44" t="s">
        <v>36</v>
      </c>
      <c r="P49" s="37" t="s">
        <v>147</v>
      </c>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76"/>
      <c r="AT49" s="41">
        <v>14</v>
      </c>
      <c r="AU49" s="76"/>
      <c r="AV49" s="76"/>
      <c r="AW49" s="41">
        <v>120</v>
      </c>
      <c r="AX49" s="76"/>
      <c r="AY49" s="76"/>
      <c r="AZ49" s="76"/>
      <c r="BA49" s="39"/>
      <c r="BB49" s="39"/>
      <c r="BC49" s="39"/>
    </row>
    <row r="50" spans="1:55" ht="20.399999999999999" x14ac:dyDescent="0.3">
      <c r="A50" s="126"/>
      <c r="B50" s="126"/>
      <c r="C50" s="126"/>
      <c r="D50" s="126"/>
      <c r="E50" s="126"/>
      <c r="F50" s="126"/>
      <c r="G50" s="144"/>
      <c r="H50" s="144"/>
      <c r="I50" s="142"/>
      <c r="J50" s="87" t="s">
        <v>132</v>
      </c>
      <c r="K50" s="88" t="s">
        <v>75</v>
      </c>
      <c r="L50" s="88" t="s">
        <v>46</v>
      </c>
      <c r="M50" s="14">
        <v>500000</v>
      </c>
      <c r="N50" s="88" t="s">
        <v>262</v>
      </c>
      <c r="O50" s="44" t="s">
        <v>36</v>
      </c>
      <c r="P50" s="37" t="s">
        <v>147</v>
      </c>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76"/>
      <c r="AT50" s="76"/>
      <c r="AU50" s="76"/>
      <c r="AV50" s="76"/>
      <c r="AW50" s="76"/>
      <c r="AX50" s="76"/>
      <c r="AY50" s="76"/>
      <c r="AZ50" s="76"/>
      <c r="BA50" s="39"/>
      <c r="BB50" s="39"/>
      <c r="BC50" s="39"/>
    </row>
    <row r="51" spans="1:55" ht="20.399999999999999" x14ac:dyDescent="0.3">
      <c r="A51" s="126"/>
      <c r="B51" s="126"/>
      <c r="C51" s="126"/>
      <c r="D51" s="126"/>
      <c r="E51" s="126"/>
      <c r="F51" s="126"/>
      <c r="G51" s="144"/>
      <c r="H51" s="144"/>
      <c r="I51" s="142"/>
      <c r="J51" s="87" t="s">
        <v>132</v>
      </c>
      <c r="K51" s="88" t="s">
        <v>76</v>
      </c>
      <c r="L51" s="88" t="s">
        <v>46</v>
      </c>
      <c r="M51" s="14">
        <v>220000</v>
      </c>
      <c r="N51" s="88" t="s">
        <v>165</v>
      </c>
      <c r="O51" s="44" t="s">
        <v>36</v>
      </c>
      <c r="P51" s="37" t="s">
        <v>147</v>
      </c>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41">
        <v>100</v>
      </c>
      <c r="AT51" s="76"/>
      <c r="AU51" s="76"/>
      <c r="AV51" s="76"/>
      <c r="AW51" s="76"/>
      <c r="AX51" s="76"/>
      <c r="AY51" s="76"/>
      <c r="AZ51" s="76"/>
      <c r="BA51" s="39"/>
      <c r="BB51" s="39"/>
      <c r="BC51" s="39"/>
    </row>
    <row r="52" spans="1:55" ht="20.399999999999999" x14ac:dyDescent="0.3">
      <c r="A52" s="126"/>
      <c r="B52" s="126"/>
      <c r="C52" s="126"/>
      <c r="D52" s="126"/>
      <c r="E52" s="126"/>
      <c r="F52" s="126"/>
      <c r="G52" s="144"/>
      <c r="H52" s="144"/>
      <c r="I52" s="142"/>
      <c r="J52" s="87" t="s">
        <v>132</v>
      </c>
      <c r="K52" s="44" t="s">
        <v>77</v>
      </c>
      <c r="L52" s="44" t="s">
        <v>50</v>
      </c>
      <c r="M52" s="14">
        <v>70000</v>
      </c>
      <c r="N52" s="44" t="s">
        <v>166</v>
      </c>
      <c r="O52" s="44" t="s">
        <v>36</v>
      </c>
      <c r="P52" s="37" t="s">
        <v>147</v>
      </c>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76"/>
      <c r="AT52" s="76"/>
      <c r="AU52" s="76"/>
      <c r="AV52" s="76"/>
      <c r="AW52" s="76"/>
      <c r="AX52" s="76"/>
      <c r="AY52" s="76"/>
      <c r="AZ52" s="76"/>
      <c r="BA52" s="39"/>
      <c r="BB52" s="39"/>
      <c r="BC52" s="39"/>
    </row>
    <row r="53" spans="1:55" ht="60.6" customHeight="1" x14ac:dyDescent="0.3">
      <c r="A53" s="126" t="s">
        <v>78</v>
      </c>
      <c r="B53" s="126" t="s">
        <v>29</v>
      </c>
      <c r="C53" s="126" t="s">
        <v>38</v>
      </c>
      <c r="D53" s="126" t="s">
        <v>39</v>
      </c>
      <c r="E53" s="126" t="s">
        <v>24</v>
      </c>
      <c r="F53" s="126" t="s">
        <v>33</v>
      </c>
      <c r="G53" s="127">
        <f>(M53+M54)*0.75</f>
        <v>225000</v>
      </c>
      <c r="H53" s="127">
        <f>(M53+M54)*0.25</f>
        <v>75000</v>
      </c>
      <c r="I53" s="142">
        <f>G53/(G53+H53)</f>
        <v>0.75</v>
      </c>
      <c r="J53" s="87" t="s">
        <v>132</v>
      </c>
      <c r="K53" s="44" t="s">
        <v>79</v>
      </c>
      <c r="L53" s="44" t="s">
        <v>41</v>
      </c>
      <c r="M53" s="9">
        <v>110000</v>
      </c>
      <c r="N53" s="44" t="s">
        <v>264</v>
      </c>
      <c r="O53" s="44" t="s">
        <v>36</v>
      </c>
      <c r="P53" s="37" t="s">
        <v>144</v>
      </c>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76"/>
      <c r="AT53" s="76"/>
      <c r="AU53" s="76"/>
      <c r="AV53" s="76"/>
      <c r="AW53" s="76"/>
      <c r="AX53" s="76"/>
      <c r="AY53" s="76"/>
      <c r="AZ53" s="76"/>
      <c r="BA53" s="39"/>
      <c r="BB53" s="39"/>
      <c r="BC53" s="39"/>
    </row>
    <row r="54" spans="1:55" ht="30.6" x14ac:dyDescent="0.3">
      <c r="A54" s="126"/>
      <c r="B54" s="126"/>
      <c r="C54" s="126"/>
      <c r="D54" s="126"/>
      <c r="E54" s="126"/>
      <c r="F54" s="126"/>
      <c r="G54" s="127"/>
      <c r="H54" s="127"/>
      <c r="I54" s="142"/>
      <c r="J54" s="87" t="s">
        <v>132</v>
      </c>
      <c r="K54" s="44" t="s">
        <v>79</v>
      </c>
      <c r="L54" s="44" t="s">
        <v>41</v>
      </c>
      <c r="M54" s="9">
        <v>190000</v>
      </c>
      <c r="N54" s="44" t="s">
        <v>167</v>
      </c>
      <c r="O54" s="44" t="s">
        <v>36</v>
      </c>
      <c r="P54" s="37" t="s">
        <v>144</v>
      </c>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76"/>
      <c r="AT54" s="76"/>
      <c r="AU54" s="76"/>
      <c r="AV54" s="76"/>
      <c r="AW54" s="76"/>
      <c r="AX54" s="76"/>
      <c r="AY54" s="76"/>
      <c r="AZ54" s="76"/>
      <c r="BA54" s="39"/>
      <c r="BB54" s="39"/>
      <c r="BC54" s="39"/>
    </row>
    <row r="55" spans="1:55" ht="20.399999999999999" x14ac:dyDescent="0.3">
      <c r="A55" s="126" t="s">
        <v>80</v>
      </c>
      <c r="B55" s="126" t="s">
        <v>29</v>
      </c>
      <c r="C55" s="126" t="s">
        <v>38</v>
      </c>
      <c r="D55" s="126" t="s">
        <v>39</v>
      </c>
      <c r="E55" s="126" t="s">
        <v>24</v>
      </c>
      <c r="F55" s="126" t="s">
        <v>81</v>
      </c>
      <c r="G55" s="144">
        <f>(M55+M56)*0.75</f>
        <v>1545617.25</v>
      </c>
      <c r="H55" s="144">
        <f>SUM(M55:M56)-G55</f>
        <v>515205.75</v>
      </c>
      <c r="I55" s="142">
        <f>G55/(G55+H55)</f>
        <v>0.75</v>
      </c>
      <c r="J55" s="87" t="s">
        <v>132</v>
      </c>
      <c r="K55" s="44" t="s">
        <v>82</v>
      </c>
      <c r="L55" s="44" t="s">
        <v>41</v>
      </c>
      <c r="M55" s="9">
        <v>850000</v>
      </c>
      <c r="N55" s="43" t="s">
        <v>270</v>
      </c>
      <c r="O55" s="44" t="s">
        <v>36</v>
      </c>
      <c r="P55" s="37" t="s">
        <v>145</v>
      </c>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76"/>
      <c r="AT55" s="76"/>
      <c r="AU55" s="41">
        <v>40</v>
      </c>
      <c r="AV55" s="89"/>
      <c r="AW55" s="89"/>
      <c r="AX55" s="55">
        <v>200</v>
      </c>
      <c r="AY55" s="89"/>
      <c r="AZ55" s="55">
        <v>200</v>
      </c>
      <c r="BA55" s="39"/>
      <c r="BB55" s="39"/>
      <c r="BC55" s="39"/>
    </row>
    <row r="56" spans="1:55" ht="20.399999999999999" x14ac:dyDescent="0.3">
      <c r="A56" s="126"/>
      <c r="B56" s="126"/>
      <c r="C56" s="126"/>
      <c r="D56" s="126"/>
      <c r="E56" s="126"/>
      <c r="F56" s="126"/>
      <c r="G56" s="144"/>
      <c r="H56" s="144"/>
      <c r="I56" s="142"/>
      <c r="J56" s="87" t="s">
        <v>132</v>
      </c>
      <c r="K56" s="44" t="s">
        <v>82</v>
      </c>
      <c r="L56" s="88" t="s">
        <v>41</v>
      </c>
      <c r="M56" s="14">
        <f>850000+360823</f>
        <v>1210823</v>
      </c>
      <c r="N56" s="90" t="s">
        <v>245</v>
      </c>
      <c r="O56" s="88" t="s">
        <v>36</v>
      </c>
      <c r="P56" s="37" t="s">
        <v>145</v>
      </c>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76"/>
      <c r="AT56" s="76"/>
      <c r="AU56" s="41">
        <f>40+20</f>
        <v>60</v>
      </c>
      <c r="AV56" s="89"/>
      <c r="AW56" s="89"/>
      <c r="AX56" s="55">
        <f>200+117</f>
        <v>317</v>
      </c>
      <c r="AY56" s="89"/>
      <c r="AZ56" s="55">
        <f>200+117</f>
        <v>317</v>
      </c>
      <c r="BA56" s="39"/>
      <c r="BB56" s="39"/>
      <c r="BC56" s="39"/>
    </row>
    <row r="57" spans="1:55" ht="20.399999999999999" x14ac:dyDescent="0.3">
      <c r="A57" s="126" t="s">
        <v>83</v>
      </c>
      <c r="B57" s="126" t="s">
        <v>29</v>
      </c>
      <c r="C57" s="126" t="s">
        <v>84</v>
      </c>
      <c r="D57" s="126" t="s">
        <v>31</v>
      </c>
      <c r="E57" s="126" t="s">
        <v>24</v>
      </c>
      <c r="F57" s="126" t="s">
        <v>85</v>
      </c>
      <c r="G57" s="127">
        <f>SUM(M57:M59)*I57</f>
        <v>2000863.5</v>
      </c>
      <c r="H57" s="127">
        <f>SUM(M57:M59)-G57</f>
        <v>666954.5</v>
      </c>
      <c r="I57" s="142">
        <v>0.75</v>
      </c>
      <c r="J57" s="87" t="s">
        <v>132</v>
      </c>
      <c r="K57" s="44" t="s">
        <v>86</v>
      </c>
      <c r="L57" s="44" t="s">
        <v>63</v>
      </c>
      <c r="M57" s="14">
        <v>800000</v>
      </c>
      <c r="N57" s="44" t="s">
        <v>265</v>
      </c>
      <c r="O57" s="44" t="s">
        <v>36</v>
      </c>
      <c r="P57" s="37" t="s">
        <v>146</v>
      </c>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76"/>
      <c r="AT57" s="76"/>
      <c r="AU57" s="76"/>
      <c r="AV57" s="76"/>
      <c r="AW57" s="76"/>
      <c r="AX57" s="41">
        <v>50</v>
      </c>
      <c r="AY57" s="41">
        <v>600</v>
      </c>
      <c r="AZ57" s="41">
        <v>50</v>
      </c>
      <c r="BA57" s="39"/>
      <c r="BB57" s="39"/>
      <c r="BC57" s="39"/>
    </row>
    <row r="58" spans="1:55" ht="30.6" x14ac:dyDescent="0.3">
      <c r="A58" s="126"/>
      <c r="B58" s="126"/>
      <c r="C58" s="126"/>
      <c r="D58" s="126"/>
      <c r="E58" s="126"/>
      <c r="F58" s="126"/>
      <c r="G58" s="127"/>
      <c r="H58" s="127"/>
      <c r="I58" s="142"/>
      <c r="J58" s="87" t="s">
        <v>132</v>
      </c>
      <c r="K58" s="88" t="s">
        <v>186</v>
      </c>
      <c r="L58" s="44" t="s">
        <v>63</v>
      </c>
      <c r="M58" s="9">
        <v>800000</v>
      </c>
      <c r="N58" s="88" t="s">
        <v>266</v>
      </c>
      <c r="O58" s="88" t="s">
        <v>36</v>
      </c>
      <c r="P58" s="37" t="s">
        <v>146</v>
      </c>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76"/>
      <c r="AT58" s="76"/>
      <c r="AU58" s="76"/>
      <c r="AV58" s="76"/>
      <c r="AW58" s="76"/>
      <c r="AX58" s="41">
        <v>50</v>
      </c>
      <c r="AY58" s="41">
        <v>600</v>
      </c>
      <c r="AZ58" s="41">
        <v>50</v>
      </c>
      <c r="BA58" s="39"/>
      <c r="BB58" s="39"/>
      <c r="BC58" s="39"/>
    </row>
    <row r="59" spans="1:55" ht="30.6" x14ac:dyDescent="0.3">
      <c r="A59" s="126"/>
      <c r="B59" s="126"/>
      <c r="C59" s="126"/>
      <c r="D59" s="126"/>
      <c r="E59" s="126"/>
      <c r="F59" s="126"/>
      <c r="G59" s="127"/>
      <c r="H59" s="127"/>
      <c r="I59" s="142"/>
      <c r="J59" s="87" t="s">
        <v>132</v>
      </c>
      <c r="K59" s="88" t="s">
        <v>186</v>
      </c>
      <c r="L59" s="44" t="s">
        <v>63</v>
      </c>
      <c r="M59" s="9">
        <v>1067818</v>
      </c>
      <c r="N59" s="88" t="s">
        <v>271</v>
      </c>
      <c r="O59" s="88" t="s">
        <v>36</v>
      </c>
      <c r="P59" s="37" t="s">
        <v>146</v>
      </c>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76"/>
      <c r="AT59" s="76"/>
      <c r="AU59" s="76"/>
      <c r="AV59" s="76"/>
      <c r="AW59" s="76"/>
      <c r="AX59" s="41">
        <v>50</v>
      </c>
      <c r="AY59" s="41">
        <v>800</v>
      </c>
      <c r="AZ59" s="41">
        <v>50</v>
      </c>
      <c r="BA59" s="39"/>
      <c r="BB59" s="39"/>
      <c r="BC59" s="39"/>
    </row>
    <row r="60" spans="1:55" s="122" customFormat="1" x14ac:dyDescent="0.3">
      <c r="A60" s="36" t="s">
        <v>87</v>
      </c>
      <c r="B60" s="36"/>
      <c r="C60" s="36"/>
      <c r="D60" s="36"/>
      <c r="E60" s="36"/>
      <c r="F60" s="36"/>
      <c r="G60" s="12">
        <f>+G61</f>
        <v>752000</v>
      </c>
      <c r="H60" s="36"/>
      <c r="I60" s="12">
        <f>G60/(G60+H60)</f>
        <v>1</v>
      </c>
      <c r="J60" s="36"/>
      <c r="K60" s="36"/>
      <c r="L60" s="36"/>
      <c r="M60" s="12">
        <f>+M61</f>
        <v>752000</v>
      </c>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f>+BA61</f>
        <v>30</v>
      </c>
      <c r="BB60" s="36">
        <f>+BB61</f>
        <v>120</v>
      </c>
      <c r="BC60" s="36">
        <f>+BC61</f>
        <v>69</v>
      </c>
    </row>
    <row r="61" spans="1:55" ht="20.399999999999999" x14ac:dyDescent="0.3">
      <c r="A61" s="28" t="s">
        <v>88</v>
      </c>
      <c r="B61" s="28" t="s">
        <v>29</v>
      </c>
      <c r="C61" s="28" t="s">
        <v>89</v>
      </c>
      <c r="D61" s="28" t="s">
        <v>31</v>
      </c>
      <c r="E61" s="28" t="s">
        <v>24</v>
      </c>
      <c r="F61" s="28" t="s">
        <v>33</v>
      </c>
      <c r="G61" s="15">
        <v>752000</v>
      </c>
      <c r="H61" s="30"/>
      <c r="I61" s="86">
        <f>G61/(G61+H61)</f>
        <v>1</v>
      </c>
      <c r="J61" s="87" t="s">
        <v>132</v>
      </c>
      <c r="K61" s="44" t="s">
        <v>90</v>
      </c>
      <c r="L61" s="44" t="s">
        <v>91</v>
      </c>
      <c r="M61" s="15">
        <v>752000</v>
      </c>
      <c r="N61" s="88" t="s">
        <v>246</v>
      </c>
      <c r="O61" s="44" t="s">
        <v>36</v>
      </c>
      <c r="P61" s="37" t="s">
        <v>148</v>
      </c>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41">
        <v>30</v>
      </c>
      <c r="BB61" s="41">
        <v>120</v>
      </c>
      <c r="BC61" s="41">
        <v>69</v>
      </c>
    </row>
    <row r="62" spans="1:55" x14ac:dyDescent="0.3">
      <c r="A62" s="91" t="s">
        <v>187</v>
      </c>
      <c r="B62" s="91"/>
      <c r="C62" s="91"/>
      <c r="D62" s="91"/>
      <c r="E62" s="91"/>
      <c r="F62" s="91"/>
      <c r="G62" s="115">
        <f>+G7+G27+G48+G60</f>
        <v>66322478.919</v>
      </c>
      <c r="H62" s="115">
        <f>+H7+H27+H48+H60</f>
        <v>15322795.491</v>
      </c>
      <c r="I62" s="116"/>
    </row>
    <row r="63" spans="1:55" x14ac:dyDescent="0.3">
      <c r="A63" s="91" t="s">
        <v>94</v>
      </c>
      <c r="B63" s="119"/>
      <c r="C63" s="119"/>
      <c r="D63" s="119"/>
      <c r="E63" s="119"/>
      <c r="F63" s="119"/>
      <c r="G63" s="115">
        <v>3979348.73</v>
      </c>
      <c r="H63" s="119"/>
      <c r="I63" s="32"/>
      <c r="J63" s="92"/>
    </row>
  </sheetData>
  <autoFilter ref="A3:BC68" xr:uid="{89CAA18B-BD35-422C-ADA0-4E65839C5C4B}"/>
  <mergeCells count="100">
    <mergeCell ref="E22:E23"/>
    <mergeCell ref="F22:F23"/>
    <mergeCell ref="AJ14:AJ15"/>
    <mergeCell ref="A18:A19"/>
    <mergeCell ref="B18:B19"/>
    <mergeCell ref="C18:C19"/>
    <mergeCell ref="D18:D19"/>
    <mergeCell ref="E18:E19"/>
    <mergeCell ref="F18:F19"/>
    <mergeCell ref="G18:G19"/>
    <mergeCell ref="H18:H19"/>
    <mergeCell ref="I18:I19"/>
    <mergeCell ref="AE14:AE15"/>
    <mergeCell ref="A14:A15"/>
    <mergeCell ref="A22:A23"/>
    <mergeCell ref="B22:B23"/>
    <mergeCell ref="E36:E38"/>
    <mergeCell ref="F36:F38"/>
    <mergeCell ref="A36:A39"/>
    <mergeCell ref="B36:B38"/>
    <mergeCell ref="C36:C38"/>
    <mergeCell ref="D36:D38"/>
    <mergeCell ref="A53:A54"/>
    <mergeCell ref="B53:B54"/>
    <mergeCell ref="C53:C54"/>
    <mergeCell ref="D53:D54"/>
    <mergeCell ref="E53:E54"/>
    <mergeCell ref="A55:A56"/>
    <mergeCell ref="B55:B56"/>
    <mergeCell ref="C55:C56"/>
    <mergeCell ref="D55:D56"/>
    <mergeCell ref="E55:E56"/>
    <mergeCell ref="F57:F59"/>
    <mergeCell ref="G57:G59"/>
    <mergeCell ref="H57:H59"/>
    <mergeCell ref="G55:G56"/>
    <mergeCell ref="I57:I59"/>
    <mergeCell ref="F55:F56"/>
    <mergeCell ref="H55:H56"/>
    <mergeCell ref="I55:I56"/>
    <mergeCell ref="A57:A59"/>
    <mergeCell ref="B57:B59"/>
    <mergeCell ref="C57:C59"/>
    <mergeCell ref="D57:D59"/>
    <mergeCell ref="E57:E59"/>
    <mergeCell ref="Q1:BC1"/>
    <mergeCell ref="Q2:AD2"/>
    <mergeCell ref="AE2:AR2"/>
    <mergeCell ref="AS2:AZ2"/>
    <mergeCell ref="BA2:BC2"/>
    <mergeCell ref="AO14:AO15"/>
    <mergeCell ref="AP14:AP15"/>
    <mergeCell ref="AQ14:AQ15"/>
    <mergeCell ref="AR14:AR15"/>
    <mergeCell ref="AF14:AF15"/>
    <mergeCell ref="AG14:AG15"/>
    <mergeCell ref="AH14:AH15"/>
    <mergeCell ref="AI14:AI15"/>
    <mergeCell ref="AK14:AK15"/>
    <mergeCell ref="AL14:AL15"/>
    <mergeCell ref="AN14:AN15"/>
    <mergeCell ref="H36:H38"/>
    <mergeCell ref="I36:I38"/>
    <mergeCell ref="I53:I54"/>
    <mergeCell ref="AM14:AM15"/>
    <mergeCell ref="G49:G52"/>
    <mergeCell ref="H49:H52"/>
    <mergeCell ref="I49:I52"/>
    <mergeCell ref="J18:J19"/>
    <mergeCell ref="H53:H54"/>
    <mergeCell ref="K1:O1"/>
    <mergeCell ref="K2:O2"/>
    <mergeCell ref="A7:F7"/>
    <mergeCell ref="A10:A11"/>
    <mergeCell ref="A12:A13"/>
    <mergeCell ref="H30:H31"/>
    <mergeCell ref="I30:I31"/>
    <mergeCell ref="C32:C33"/>
    <mergeCell ref="D32:D33"/>
    <mergeCell ref="E32:E33"/>
    <mergeCell ref="F32:F33"/>
    <mergeCell ref="C30:C31"/>
    <mergeCell ref="D30:D31"/>
    <mergeCell ref="E30:E31"/>
    <mergeCell ref="C22:C23"/>
    <mergeCell ref="D22:D23"/>
    <mergeCell ref="A45:A46"/>
    <mergeCell ref="F53:F54"/>
    <mergeCell ref="G53:G54"/>
    <mergeCell ref="A49:A52"/>
    <mergeCell ref="B49:B52"/>
    <mergeCell ref="C49:C52"/>
    <mergeCell ref="D49:D52"/>
    <mergeCell ref="E49:E52"/>
    <mergeCell ref="F49:F52"/>
    <mergeCell ref="F30:F31"/>
    <mergeCell ref="G30:G31"/>
    <mergeCell ref="A30:A33"/>
    <mergeCell ref="B30:B31"/>
    <mergeCell ref="G36:G38"/>
  </mergeCells>
  <pageMargins left="0.7" right="0.7" top="0.75" bottom="0.75" header="0.3" footer="0.3"/>
  <pageSetup paperSize="9" orientation="portrait" r:id="rId1"/>
  <headerFooter>
    <oddFooter>&amp;L_x000D_&amp;1#&amp;"Aptos"&amp;10&amp;K000000 Socialinės apsaugos ir darbo ministerija bei pavaldžios įstaigos | Viešam naudojimui</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CCF60-2D73-486F-97B1-B986378D0633}">
  <dimension ref="A1:I20"/>
  <sheetViews>
    <sheetView workbookViewId="0">
      <selection activeCell="B23" sqref="B23"/>
    </sheetView>
  </sheetViews>
  <sheetFormatPr defaultRowHeight="14.4" x14ac:dyDescent="0.3"/>
  <cols>
    <col min="1" max="1" width="36.33203125" customWidth="1"/>
    <col min="2" max="2" width="52.5546875" customWidth="1"/>
    <col min="3" max="3" width="10.5546875" customWidth="1"/>
    <col min="4" max="4" width="16.33203125" customWidth="1"/>
    <col min="5" max="5" width="16" customWidth="1"/>
    <col min="6" max="6" width="16.33203125" customWidth="1"/>
    <col min="7" max="7" width="10.5546875" customWidth="1"/>
    <col min="8" max="8" width="16.6640625" customWidth="1"/>
    <col min="9" max="9" width="18.5546875" customWidth="1"/>
  </cols>
  <sheetData>
    <row r="1" spans="1:9" s="2" customFormat="1" ht="35.4" customHeight="1" x14ac:dyDescent="0.3">
      <c r="A1" s="121" t="s">
        <v>272</v>
      </c>
    </row>
    <row r="2" spans="1:9" x14ac:dyDescent="0.3">
      <c r="A2" s="2" t="s">
        <v>235</v>
      </c>
      <c r="B2" s="2" t="s">
        <v>129</v>
      </c>
      <c r="C2" s="2" t="s">
        <v>130</v>
      </c>
      <c r="D2" s="2" t="s">
        <v>131</v>
      </c>
      <c r="E2" s="2" t="s">
        <v>236</v>
      </c>
      <c r="F2" s="2" t="s">
        <v>237</v>
      </c>
      <c r="G2" s="2" t="s">
        <v>238</v>
      </c>
      <c r="H2" s="2" t="s">
        <v>239</v>
      </c>
      <c r="I2" s="2" t="s">
        <v>240</v>
      </c>
    </row>
    <row r="3" spans="1:9" x14ac:dyDescent="0.3">
      <c r="A3" t="s">
        <v>228</v>
      </c>
      <c r="B3" t="s">
        <v>132</v>
      </c>
      <c r="C3" t="s">
        <v>133</v>
      </c>
      <c r="D3" s="3">
        <v>6763248.5700000003</v>
      </c>
      <c r="E3" s="3">
        <v>2254416.19</v>
      </c>
      <c r="F3" s="3">
        <v>2254416.19</v>
      </c>
      <c r="G3" s="3">
        <v>0</v>
      </c>
      <c r="H3" s="3">
        <v>9017664.7599999998</v>
      </c>
      <c r="I3" s="1">
        <v>0.75</v>
      </c>
    </row>
    <row r="4" spans="1:9" x14ac:dyDescent="0.3">
      <c r="A4" t="s">
        <v>228</v>
      </c>
      <c r="B4" t="s">
        <v>134</v>
      </c>
      <c r="C4" t="s">
        <v>133</v>
      </c>
      <c r="D4" s="3">
        <v>9258266.6500000004</v>
      </c>
      <c r="E4" s="3">
        <v>2314566.66</v>
      </c>
      <c r="F4" s="3">
        <v>2314566.66</v>
      </c>
      <c r="G4" s="3"/>
      <c r="H4" s="3">
        <v>11572833.310000001</v>
      </c>
      <c r="I4" s="1">
        <v>0.80000000017299999</v>
      </c>
    </row>
    <row r="5" spans="1:9" x14ac:dyDescent="0.3">
      <c r="A5" t="s">
        <v>228</v>
      </c>
      <c r="B5" t="s">
        <v>135</v>
      </c>
      <c r="C5" t="s">
        <v>133</v>
      </c>
      <c r="D5" s="3">
        <v>0</v>
      </c>
      <c r="E5" s="3">
        <v>0</v>
      </c>
      <c r="F5" s="3">
        <v>0</v>
      </c>
      <c r="G5" s="3">
        <v>0</v>
      </c>
      <c r="H5" s="3">
        <v>0</v>
      </c>
      <c r="I5" s="1"/>
    </row>
    <row r="6" spans="1:9" x14ac:dyDescent="0.3">
      <c r="A6" t="s">
        <v>228</v>
      </c>
      <c r="B6" t="s">
        <v>229</v>
      </c>
      <c r="C6" t="s">
        <v>133</v>
      </c>
      <c r="D6" s="3">
        <v>18396622.41</v>
      </c>
      <c r="E6" s="3">
        <v>2044069.16</v>
      </c>
      <c r="F6" s="3">
        <v>2044069.16</v>
      </c>
      <c r="G6" s="3"/>
      <c r="H6" s="3">
        <v>20440691.57</v>
      </c>
      <c r="I6" s="1">
        <v>0.89999999985300005</v>
      </c>
    </row>
    <row r="7" spans="1:9" s="2" customFormat="1" x14ac:dyDescent="0.3">
      <c r="A7" s="2" t="s">
        <v>137</v>
      </c>
      <c r="C7" s="2" t="s">
        <v>230</v>
      </c>
      <c r="D7" s="4">
        <v>34418137.630000003</v>
      </c>
      <c r="E7" s="4">
        <v>6613052.0099999998</v>
      </c>
      <c r="F7" s="4">
        <v>6613052.0099999998</v>
      </c>
      <c r="G7" s="4">
        <v>0</v>
      </c>
      <c r="H7" s="4">
        <v>41031189.640000001</v>
      </c>
      <c r="I7" s="5">
        <v>0.83882865527399997</v>
      </c>
    </row>
    <row r="8" spans="1:9" x14ac:dyDescent="0.3">
      <c r="A8" t="s">
        <v>231</v>
      </c>
      <c r="B8" t="s">
        <v>132</v>
      </c>
      <c r="C8" t="s">
        <v>133</v>
      </c>
      <c r="D8" s="3">
        <v>16238416.439999999</v>
      </c>
      <c r="E8" s="3">
        <v>5982583.8899999997</v>
      </c>
      <c r="F8" s="3">
        <v>5982583.8899999997</v>
      </c>
      <c r="G8" s="3">
        <v>0</v>
      </c>
      <c r="H8" s="3">
        <v>22221000.329999998</v>
      </c>
      <c r="I8" s="1">
        <v>0.73076892123899995</v>
      </c>
    </row>
    <row r="9" spans="1:9" x14ac:dyDescent="0.3">
      <c r="A9" t="s">
        <v>231</v>
      </c>
      <c r="B9" t="s">
        <v>135</v>
      </c>
      <c r="C9" t="s">
        <v>133</v>
      </c>
      <c r="D9" s="3">
        <v>0</v>
      </c>
      <c r="E9" s="3">
        <v>0</v>
      </c>
      <c r="F9" s="3">
        <v>0</v>
      </c>
      <c r="G9" s="3">
        <v>0</v>
      </c>
      <c r="H9" s="3">
        <v>0</v>
      </c>
      <c r="I9" s="1"/>
    </row>
    <row r="10" spans="1:9" x14ac:dyDescent="0.3">
      <c r="A10" t="s">
        <v>231</v>
      </c>
      <c r="B10" t="s">
        <v>229</v>
      </c>
      <c r="C10" t="s">
        <v>133</v>
      </c>
      <c r="D10" s="3">
        <v>10098669.1</v>
      </c>
      <c r="E10" s="3">
        <v>1122074.3400000001</v>
      </c>
      <c r="F10" s="3">
        <v>1122074.3400000001</v>
      </c>
      <c r="G10" s="3"/>
      <c r="H10" s="3">
        <v>11220743.439999999</v>
      </c>
      <c r="I10" s="1">
        <v>0.90000000035600003</v>
      </c>
    </row>
    <row r="11" spans="1:9" x14ac:dyDescent="0.3">
      <c r="A11" t="s">
        <v>138</v>
      </c>
      <c r="C11" t="s">
        <v>230</v>
      </c>
      <c r="D11" s="3">
        <v>26337085.539999999</v>
      </c>
      <c r="E11" s="3">
        <v>7104658.2300000004</v>
      </c>
      <c r="F11" s="3">
        <v>7104658.2300000004</v>
      </c>
      <c r="G11" s="3">
        <v>0</v>
      </c>
      <c r="H11" s="3">
        <v>33441743.77</v>
      </c>
      <c r="I11" s="1">
        <v>0.78755120310500004</v>
      </c>
    </row>
    <row r="12" spans="1:9" x14ac:dyDescent="0.3">
      <c r="A12" t="s">
        <v>232</v>
      </c>
      <c r="B12" t="s">
        <v>132</v>
      </c>
      <c r="C12" t="s">
        <v>133</v>
      </c>
      <c r="D12" s="3">
        <v>4815255.75</v>
      </c>
      <c r="E12" s="3">
        <v>1605085.25</v>
      </c>
      <c r="F12" s="3">
        <v>1605085.25</v>
      </c>
      <c r="G12" s="3">
        <v>0</v>
      </c>
      <c r="H12" s="3">
        <v>6420341</v>
      </c>
      <c r="I12" s="1">
        <v>0.75</v>
      </c>
    </row>
    <row r="13" spans="1:9" x14ac:dyDescent="0.3">
      <c r="A13" t="s">
        <v>232</v>
      </c>
      <c r="B13" t="s">
        <v>135</v>
      </c>
      <c r="C13" t="s">
        <v>133</v>
      </c>
      <c r="D13" s="3">
        <v>0</v>
      </c>
      <c r="E13" s="3">
        <v>0</v>
      </c>
      <c r="F13" s="3">
        <v>0</v>
      </c>
      <c r="G13" s="3">
        <v>0</v>
      </c>
      <c r="H13" s="3">
        <v>0</v>
      </c>
      <c r="I13" s="1"/>
    </row>
    <row r="14" spans="1:9" s="2" customFormat="1" x14ac:dyDescent="0.3">
      <c r="A14" s="2" t="s">
        <v>139</v>
      </c>
      <c r="C14" s="2" t="s">
        <v>230</v>
      </c>
      <c r="D14" s="4">
        <v>4815255.75</v>
      </c>
      <c r="E14" s="4">
        <v>1605085.25</v>
      </c>
      <c r="F14" s="4">
        <v>1605085.25</v>
      </c>
      <c r="G14" s="4">
        <v>0</v>
      </c>
      <c r="H14" s="4">
        <v>6420341</v>
      </c>
      <c r="I14" s="5">
        <v>0.75</v>
      </c>
    </row>
    <row r="15" spans="1:9" x14ac:dyDescent="0.3">
      <c r="A15" t="s">
        <v>233</v>
      </c>
      <c r="B15" t="s">
        <v>132</v>
      </c>
      <c r="C15" t="s">
        <v>133</v>
      </c>
      <c r="D15" s="3">
        <v>0</v>
      </c>
      <c r="E15" s="3">
        <v>0</v>
      </c>
      <c r="F15" s="3">
        <v>0</v>
      </c>
      <c r="G15" s="3">
        <v>0</v>
      </c>
      <c r="H15" s="3">
        <v>0</v>
      </c>
      <c r="I15" s="1"/>
    </row>
    <row r="16" spans="1:9" x14ac:dyDescent="0.3">
      <c r="A16" t="s">
        <v>233</v>
      </c>
      <c r="B16" t="s">
        <v>135</v>
      </c>
      <c r="C16" t="s">
        <v>133</v>
      </c>
      <c r="D16" s="3">
        <v>0</v>
      </c>
      <c r="E16" s="3">
        <v>0</v>
      </c>
      <c r="F16" s="3">
        <v>0</v>
      </c>
      <c r="G16" s="3">
        <v>0</v>
      </c>
      <c r="H16" s="3">
        <v>0</v>
      </c>
      <c r="I16" s="1"/>
    </row>
    <row r="17" spans="1:9" x14ac:dyDescent="0.3">
      <c r="A17" t="s">
        <v>233</v>
      </c>
      <c r="B17" t="s">
        <v>136</v>
      </c>
      <c r="C17" t="s">
        <v>230</v>
      </c>
      <c r="D17" s="3">
        <v>752000</v>
      </c>
      <c r="E17" s="3"/>
      <c r="F17" s="3"/>
      <c r="G17" s="3"/>
      <c r="H17" s="3">
        <v>752000</v>
      </c>
      <c r="I17" s="1">
        <v>1</v>
      </c>
    </row>
    <row r="18" spans="1:9" s="2" customFormat="1" x14ac:dyDescent="0.3">
      <c r="A18" s="2" t="s">
        <v>140</v>
      </c>
      <c r="C18" s="2" t="s">
        <v>230</v>
      </c>
      <c r="D18" s="4">
        <v>752000</v>
      </c>
      <c r="E18" s="4">
        <v>0</v>
      </c>
      <c r="F18" s="4">
        <v>0</v>
      </c>
      <c r="G18" s="4">
        <v>0</v>
      </c>
      <c r="H18" s="4">
        <v>752000</v>
      </c>
      <c r="I18" s="5">
        <v>1</v>
      </c>
    </row>
    <row r="19" spans="1:9" x14ac:dyDescent="0.3">
      <c r="A19" t="s">
        <v>234</v>
      </c>
      <c r="C19" t="s">
        <v>230</v>
      </c>
      <c r="D19" s="3">
        <v>3979348.73</v>
      </c>
      <c r="E19" s="3"/>
      <c r="F19" s="3"/>
      <c r="G19" s="3"/>
      <c r="H19" s="3">
        <v>3979348.73</v>
      </c>
      <c r="I19" s="1">
        <v>1</v>
      </c>
    </row>
    <row r="20" spans="1:9" s="2" customFormat="1" x14ac:dyDescent="0.3">
      <c r="A20" s="2" t="s">
        <v>133</v>
      </c>
      <c r="C20" s="2" t="s">
        <v>230</v>
      </c>
      <c r="D20" s="4">
        <v>70301827.650000006</v>
      </c>
      <c r="E20" s="4">
        <v>15322795.49</v>
      </c>
      <c r="F20" s="4">
        <v>15322795.49</v>
      </c>
      <c r="G20" s="4">
        <v>0</v>
      </c>
      <c r="H20" s="4">
        <v>85624623.140000001</v>
      </c>
      <c r="I20" s="5">
        <v>0.82104685628899998</v>
      </c>
    </row>
  </sheetData>
  <pageMargins left="0.7" right="0.7" top="0.75" bottom="0.75" header="0.3" footer="0.3"/>
  <headerFooter>
    <oddFooter>&amp;L_x000D_&amp;1#&amp;"Aptos"&amp;10&amp;K000000 Socialinės apsaugos ir darbo ministerija bei pavaldžios įstaigos | Viešam naudojimui</oddFooter>
  </headerFooter>
  <tableParts count="1">
    <tablePart r:id="rId1"/>
  </tableParts>
</worksheet>
</file>

<file path=docMetadata/LabelInfo.xml><?xml version="1.0" encoding="utf-8"?>
<clbl:labelList xmlns:clbl="http://schemas.microsoft.com/office/2020/mipLabelMetadata">
  <clbl:label id="{3d7caaaa-5b58-4151-a93c-a7beabc3b2f0}" enabled="1" method="Privileged" siteId="{6062c8a2-d353-46c2-92d8-0dd75d1f4b63}"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Kvietimų planas</vt:lpstr>
      <vt:lpstr>PMIF programos asignavimai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Perevičiūtė</dc:creator>
  <cp:keywords/>
  <dc:description/>
  <cp:lastModifiedBy>Justina Žutautaitė</cp:lastModifiedBy>
  <cp:revision/>
  <dcterms:created xsi:type="dcterms:W3CDTF">2023-06-12T10:52:44Z</dcterms:created>
  <dcterms:modified xsi:type="dcterms:W3CDTF">2026-01-29T18:34:08Z</dcterms:modified>
  <cp:category/>
  <cp:contentStatus/>
</cp:coreProperties>
</file>